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ni\Desktop\BSO\"/>
    </mc:Choice>
  </mc:AlternateContent>
  <xr:revisionPtr revIDLastSave="0" documentId="13_ncr:1_{2FAD2523-12DD-4E77-BC99-5FB184487878}" xr6:coauthVersionLast="36" xr6:coauthVersionMax="36" xr10:uidLastSave="{00000000-0000-0000-0000-000000000000}"/>
  <bookViews>
    <workbookView xWindow="120" yWindow="156" windowWidth="24240" windowHeight="13512" xr2:uid="{00000000-000D-0000-FFFF-FFFF00000000}"/>
  </bookViews>
  <sheets>
    <sheet name="SKAT" sheetId="1" r:id="rId1"/>
  </sheets>
  <definedNames>
    <definedName name="_xlnm.Print_Area" localSheetId="0">SKAT!$A$1:$P$49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53" i="1" l="1"/>
  <c r="K53" i="1"/>
  <c r="K23" i="1"/>
  <c r="C25" i="1" l="1"/>
  <c r="C27" i="1"/>
  <c r="D15" i="1" l="1"/>
  <c r="B16" i="1"/>
  <c r="B15" i="1"/>
  <c r="B13" i="1"/>
  <c r="G28" i="1"/>
  <c r="H28" i="1"/>
  <c r="D27" i="1"/>
  <c r="D29" i="1" s="1"/>
  <c r="D30" i="1" s="1"/>
  <c r="C29" i="1"/>
  <c r="C30" i="1" s="1"/>
  <c r="D25" i="1"/>
  <c r="D31" i="1" l="1"/>
  <c r="D35" i="1" s="1"/>
  <c r="C13" i="1"/>
  <c r="B6" i="1"/>
  <c r="D34" i="1" l="1"/>
  <c r="E5" i="1"/>
  <c r="D6" i="1" l="1"/>
  <c r="D13" i="1"/>
  <c r="D16" i="1" s="1"/>
  <c r="D17" i="1" l="1"/>
  <c r="D14" i="1"/>
  <c r="H23" i="1"/>
  <c r="H27" i="1" l="1"/>
  <c r="H29" i="1" s="1"/>
  <c r="H37" i="1"/>
  <c r="D37" i="1"/>
  <c r="D39" i="1" s="1"/>
  <c r="C37" i="1"/>
  <c r="B17" i="1"/>
  <c r="H30" i="1" l="1"/>
  <c r="H31" i="1" s="1"/>
  <c r="D40" i="1"/>
  <c r="E25" i="1"/>
  <c r="G25" i="1" s="1"/>
  <c r="F25" i="1"/>
  <c r="H25" i="1" s="1"/>
  <c r="F23" i="1"/>
  <c r="E23" i="1"/>
  <c r="E27" i="1" s="1"/>
  <c r="E29" i="1" s="1"/>
  <c r="H34" i="1" l="1"/>
  <c r="H39" i="1" s="1"/>
  <c r="H35" i="1"/>
  <c r="H40" i="1" s="1"/>
  <c r="F27" i="1"/>
  <c r="F29" i="1" s="1"/>
  <c r="L23" i="1"/>
  <c r="L28" i="1" s="1"/>
  <c r="F30" i="1" l="1"/>
  <c r="F31" i="1" s="1"/>
  <c r="F34" i="1" l="1"/>
  <c r="F35" i="1"/>
  <c r="C31" i="1" l="1"/>
  <c r="C35" i="1" l="1"/>
  <c r="C40" i="1" s="1"/>
  <c r="C34" i="1"/>
  <c r="C39" i="1" s="1"/>
  <c r="R57" i="1" l="1"/>
  <c r="R56" i="1"/>
  <c r="R55" i="1"/>
  <c r="R54" i="1"/>
  <c r="R53" i="1"/>
  <c r="G23" i="1" l="1"/>
  <c r="K78" i="1"/>
  <c r="L78" i="1"/>
  <c r="G27" i="1" l="1"/>
  <c r="G29" i="1" s="1"/>
  <c r="G37" i="1"/>
  <c r="K28" i="1"/>
  <c r="K27" i="1"/>
  <c r="K79" i="1"/>
  <c r="O23" i="1"/>
  <c r="M23" i="1"/>
  <c r="N23" i="1"/>
  <c r="P23" i="1"/>
  <c r="P28" i="1" s="1"/>
  <c r="K25" i="1"/>
  <c r="M25" i="1"/>
  <c r="M52" i="1" s="1"/>
  <c r="M53" i="1" s="1"/>
  <c r="L27" i="1"/>
  <c r="C15" i="1"/>
  <c r="C14" i="1"/>
  <c r="M54" i="1" l="1"/>
  <c r="M55" i="1" s="1"/>
  <c r="M56" i="1" s="1"/>
  <c r="M57" i="1" s="1"/>
  <c r="M58" i="1" s="1"/>
  <c r="O53" i="1"/>
  <c r="M27" i="1"/>
  <c r="M28" i="1"/>
  <c r="N28" i="1"/>
  <c r="M59" i="1"/>
  <c r="M60" i="1" s="1"/>
  <c r="M62" i="1" s="1"/>
  <c r="O28" i="1"/>
  <c r="O37" i="1"/>
  <c r="K29" i="1"/>
  <c r="B14" i="1"/>
  <c r="L29" i="1"/>
  <c r="L30" i="1" s="1"/>
  <c r="O25" i="1"/>
  <c r="E30" i="1"/>
  <c r="E31" i="1" s="1"/>
  <c r="P37" i="1"/>
  <c r="O52" i="1"/>
  <c r="P52" i="1"/>
  <c r="O27" i="1"/>
  <c r="P27" i="1"/>
  <c r="P29" i="1" s="1"/>
  <c r="P30" i="1" s="1"/>
  <c r="N27" i="1"/>
  <c r="L25" i="1"/>
  <c r="G30" i="1"/>
  <c r="G31" i="1" s="1"/>
  <c r="C16" i="1"/>
  <c r="K30" i="1" l="1"/>
  <c r="M51" i="1" s="1"/>
  <c r="O55" i="1"/>
  <c r="O59" i="1"/>
  <c r="O60" i="1"/>
  <c r="G35" i="1"/>
  <c r="G34" i="1"/>
  <c r="G39" i="1" s="1"/>
  <c r="E35" i="1"/>
  <c r="E34" i="1"/>
  <c r="C17" i="1"/>
  <c r="F37" i="1"/>
  <c r="O29" i="1"/>
  <c r="O30" i="1" s="1"/>
  <c r="O57" i="1"/>
  <c r="O54" i="1"/>
  <c r="O56" i="1"/>
  <c r="L31" i="1"/>
  <c r="O58" i="1"/>
  <c r="G40" i="1"/>
  <c r="E37" i="1"/>
  <c r="L37" i="1"/>
  <c r="K37" i="1"/>
  <c r="N37" i="1"/>
  <c r="M37" i="1"/>
  <c r="M29" i="1"/>
  <c r="S53" i="1"/>
  <c r="T53" i="1" s="1"/>
  <c r="S54" i="1"/>
  <c r="T54" i="1" s="1"/>
  <c r="N29" i="1"/>
  <c r="N25" i="1"/>
  <c r="N52" i="1" s="1"/>
  <c r="N53" i="1" s="1"/>
  <c r="N51" i="1" s="1"/>
  <c r="K31" i="1" l="1"/>
  <c r="F39" i="1"/>
  <c r="F40" i="1"/>
  <c r="O62" i="1"/>
  <c r="O63" i="1" s="1"/>
  <c r="M30" i="1" s="1"/>
  <c r="L35" i="1"/>
  <c r="L40" i="1" s="1"/>
  <c r="L34" i="1"/>
  <c r="L39" i="1" s="1"/>
  <c r="N54" i="1"/>
  <c r="P53" i="1"/>
  <c r="P25" i="1"/>
  <c r="E39" i="1"/>
  <c r="E40" i="1"/>
  <c r="P31" i="1"/>
  <c r="O31" i="1"/>
  <c r="K35" i="1" l="1"/>
  <c r="K40" i="1" s="1"/>
  <c r="K34" i="1"/>
  <c r="K39" i="1" s="1"/>
  <c r="O35" i="1"/>
  <c r="O40" i="1" s="1"/>
  <c r="O34" i="1"/>
  <c r="O39" i="1" s="1"/>
  <c r="P35" i="1"/>
  <c r="P40" i="1" s="1"/>
  <c r="P34" i="1"/>
  <c r="P39" i="1" s="1"/>
  <c r="S55" i="1"/>
  <c r="T55" i="1" s="1"/>
  <c r="S56" i="1"/>
  <c r="T56" i="1" s="1"/>
  <c r="N55" i="1"/>
  <c r="P54" i="1"/>
  <c r="S57" i="1"/>
  <c r="T57" i="1" s="1"/>
  <c r="N56" i="1" l="1"/>
  <c r="P55" i="1"/>
  <c r="N57" i="1" l="1"/>
  <c r="P56" i="1"/>
  <c r="N58" i="1" l="1"/>
  <c r="P57" i="1"/>
  <c r="N59" i="1" l="1"/>
  <c r="P58" i="1"/>
  <c r="N60" i="1" l="1"/>
  <c r="N62" i="1" s="1"/>
  <c r="P59" i="1"/>
  <c r="M31" i="1" l="1"/>
  <c r="P60" i="1"/>
  <c r="P62" i="1" s="1"/>
  <c r="P63" i="1" s="1"/>
  <c r="N30" i="1" s="1"/>
  <c r="M35" i="1" l="1"/>
  <c r="M40" i="1" s="1"/>
  <c r="M34" i="1"/>
  <c r="M39" i="1" s="1"/>
  <c r="N31" i="1" l="1"/>
  <c r="N35" i="1" l="1"/>
  <c r="N40" i="1" s="1"/>
  <c r="N34" i="1"/>
  <c r="N39" i="1" s="1"/>
</calcChain>
</file>

<file path=xl/sharedStrings.xml><?xml version="1.0" encoding="utf-8"?>
<sst xmlns="http://schemas.openxmlformats.org/spreadsheetml/2006/main" count="115" uniqueCount="93">
  <si>
    <t>Skematisk model</t>
  </si>
  <si>
    <t>Regnskabsmæssig model</t>
  </si>
  <si>
    <t>Omsætning</t>
  </si>
  <si>
    <t>Andele</t>
  </si>
  <si>
    <t>Pris pr. andel</t>
  </si>
  <si>
    <t>kr.</t>
  </si>
  <si>
    <t>Driftsomkostninger</t>
  </si>
  <si>
    <t>EBITDA</t>
  </si>
  <si>
    <t>EBIT</t>
  </si>
  <si>
    <t>Finansiering køb</t>
  </si>
  <si>
    <t>Rest</t>
  </si>
  <si>
    <t>40% fradrag</t>
  </si>
  <si>
    <t>Skattemæssige afskrivninger</t>
  </si>
  <si>
    <t>Investering</t>
  </si>
  <si>
    <t>Skat heraf:</t>
  </si>
  <si>
    <t>Omsætning (prorata)</t>
  </si>
  <si>
    <t>Skattepligtig Indkomst</t>
  </si>
  <si>
    <t>Ægtefæller uafhængigt af hinanden</t>
  </si>
  <si>
    <t>Fradrag for renteomkostninger som kapitalindkomst</t>
  </si>
  <si>
    <t>Overskud beskattes som kapitalindkomst (hvis flere end 10 ejere der anvender regnskabsmæssig metode)</t>
  </si>
  <si>
    <t>Salg</t>
  </si>
  <si>
    <t>Ægtefæller</t>
  </si>
  <si>
    <t>Renter</t>
  </si>
  <si>
    <t>Beskatning</t>
  </si>
  <si>
    <t>år 1</t>
  </si>
  <si>
    <t>år 2</t>
  </si>
  <si>
    <t>år 3</t>
  </si>
  <si>
    <t>år 4</t>
  </si>
  <si>
    <t>år 5</t>
  </si>
  <si>
    <t>år 6</t>
  </si>
  <si>
    <t>år 7</t>
  </si>
  <si>
    <t>år 8</t>
  </si>
  <si>
    <t>år 9</t>
  </si>
  <si>
    <t>år 0</t>
  </si>
  <si>
    <t>Underskud overføres til år med overskud (hvis flere end 10 ejere der anvender regnskabsmæssig metode)</t>
  </si>
  <si>
    <t>Underskud ej med i indkomst</t>
  </si>
  <si>
    <t>BUDGETVÆRDIER</t>
  </si>
  <si>
    <t>Afskrivninger (25 år)</t>
  </si>
  <si>
    <t>---------------------------------------------------------------------------------------ooooo0ooooo-----------------------------------------------------------------------------------------------------------------------------------</t>
  </si>
  <si>
    <t>Rente ???</t>
  </si>
  <si>
    <t>Antal Andele</t>
  </si>
  <si>
    <t>Skattepligtigt salg / fradrag tab i indkomst fra drift</t>
  </si>
  <si>
    <t>Skattefrit salg / ej fradrag tab</t>
  </si>
  <si>
    <t>År 1-25</t>
  </si>
  <si>
    <t>år 10</t>
  </si>
  <si>
    <t>år 11</t>
  </si>
  <si>
    <t>år 12</t>
  </si>
  <si>
    <t>år 13</t>
  </si>
  <si>
    <t>år 14</t>
  </si>
  <si>
    <t>år 15</t>
  </si>
  <si>
    <t>år 16</t>
  </si>
  <si>
    <t>år 17</t>
  </si>
  <si>
    <t>år 18</t>
  </si>
  <si>
    <t>år 19</t>
  </si>
  <si>
    <t>år 20</t>
  </si>
  <si>
    <t>år 21</t>
  </si>
  <si>
    <t>år 22</t>
  </si>
  <si>
    <t>år 23</t>
  </si>
  <si>
    <t>år 24</t>
  </si>
  <si>
    <t>år 25</t>
  </si>
  <si>
    <t>omsætning</t>
  </si>
  <si>
    <t>driftsomk</t>
  </si>
  <si>
    <t>Overgangsordning</t>
  </si>
  <si>
    <t>Kan afstå samt overgå til skematisk ordning</t>
  </si>
  <si>
    <t>År 0-25 akk.</t>
  </si>
  <si>
    <t>Indkomst</t>
  </si>
  <si>
    <t>Cashflow afkast</t>
  </si>
  <si>
    <t>Intern rente (EBIT/INV)</t>
  </si>
  <si>
    <t>Kan ej gå fra skematisk til regnskabsmæssig model</t>
  </si>
  <si>
    <t>skematisk model 0 skat</t>
  </si>
  <si>
    <t>over 52 andel lavest marginale skat ved regnskabsmæssig model</t>
  </si>
  <si>
    <t>Effektiv skatteprocent (v/37,7%)</t>
  </si>
  <si>
    <t>Effektiv skatteprocent (v/42,9%)</t>
  </si>
  <si>
    <t>REGNEEKSEMPLER - VINDMØLLEANDELE LAUG</t>
  </si>
  <si>
    <t>pris pr. kWh</t>
  </si>
  <si>
    <t>øre/kWh år 1</t>
  </si>
  <si>
    <t>Bundfradrag (**)</t>
  </si>
  <si>
    <t>Indtjening (EBIT pr. ejede andele)</t>
  </si>
  <si>
    <t>Kostpris (4 møller ud af 18)</t>
  </si>
  <si>
    <t>18 møller park</t>
  </si>
  <si>
    <t>ved marginalskat på 52,5% (*)</t>
  </si>
  <si>
    <t>ved marginalskat på 37,5% (*) Personlig indkomst</t>
  </si>
  <si>
    <t>"Bundskat" af PI u/ AMB</t>
  </si>
  <si>
    <t>"Topskat" af PI u/ AMB</t>
  </si>
  <si>
    <t>ved marginalskat på 25% (*) Kapitalindkomst</t>
  </si>
  <si>
    <t>ved marginalskat på 42% (*)</t>
  </si>
  <si>
    <t>"Bundskat" af KI</t>
  </si>
  <si>
    <t>"Topskat" af KI</t>
  </si>
  <si>
    <t>År 8 (2028)</t>
  </si>
  <si>
    <t>År 1 (2021)</t>
  </si>
  <si>
    <t>Indkomst beskattes som Personlig indkomst u/AM</t>
  </si>
  <si>
    <t>0 - 32 andele</t>
  </si>
  <si>
    <t>33 - 52 andele samme marginalskat over 25 år (uden salg)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</si>
</sst>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 * #,##0_ ;_ * \-#,##0_ ;_ * &quot;-&quot;??_ ;_ @_ "/>
    <numFmt numFmtId="166" formatCode="0.0%"/>
    <numFmt numFmtId="167" formatCode="0.000"/>
  </numFmts>
  <fonts count="25" x14ac:knownFonts="1"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theme="1"/>
      <name val="Trebuchet MS"/>
      <family val="2"/>
    </font>
    <font>
      <sz val="10"/>
      <color theme="1"/>
      <name val="Trebuchet MS"/>
      <family val="2"/>
    </font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color theme="0"/>
      <name val="Trebuchet MS"/>
      <family val="2"/>
    </font>
    <font>
      <b/>
      <sz val="9"/>
      <color theme="1"/>
      <name val="Trebuchet MS"/>
      <family val="2"/>
    </font>
    <font>
      <sz val="9"/>
      <color theme="1"/>
      <name val="Trebuchet MS"/>
      <family val="2"/>
    </font>
    <font>
      <sz val="10"/>
      <name val="Trebuchet MS"/>
      <family val="2"/>
    </font>
    <font>
      <sz val="9"/>
      <color theme="0"/>
      <name val="Trebuchet MS"/>
      <family val="2"/>
    </font>
    <font>
      <sz val="10"/>
      <color rgb="FFFF0000"/>
      <name val="Trebuchet MS"/>
      <family val="2"/>
    </font>
    <font>
      <b/>
      <sz val="10"/>
      <color theme="0"/>
      <name val="Trebuchet MS"/>
      <family val="2"/>
    </font>
    <font>
      <i/>
      <sz val="10"/>
      <color theme="0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00">
    <xf numFmtId="0" fontId="0" fillId="0" borderId="0" xfId="0"/>
    <xf numFmtId="0" fontId="14" fillId="0" borderId="0" xfId="0" applyFont="1"/>
    <xf numFmtId="0" fontId="13" fillId="0" borderId="0" xfId="0" applyFont="1"/>
    <xf numFmtId="165" fontId="14" fillId="0" borderId="0" xfId="1" applyNumberFormat="1" applyFont="1"/>
    <xf numFmtId="165" fontId="13" fillId="0" borderId="0" xfId="1" applyNumberFormat="1" applyFont="1"/>
    <xf numFmtId="165" fontId="13" fillId="0" borderId="0" xfId="1" applyNumberFormat="1" applyFont="1" applyBorder="1" applyAlignment="1">
      <alignment horizontal="center"/>
    </xf>
    <xf numFmtId="166" fontId="13" fillId="0" borderId="0" xfId="0" applyNumberFormat="1" applyFont="1"/>
    <xf numFmtId="0" fontId="16" fillId="0" borderId="0" xfId="0" applyFont="1"/>
    <xf numFmtId="165" fontId="16" fillId="0" borderId="0" xfId="1" applyNumberFormat="1" applyFont="1"/>
    <xf numFmtId="0" fontId="13" fillId="0" borderId="0" xfId="0" applyFont="1" applyBorder="1" applyAlignment="1">
      <alignment horizontal="center"/>
    </xf>
    <xf numFmtId="0" fontId="14" fillId="0" borderId="1" xfId="0" applyFont="1" applyBorder="1"/>
    <xf numFmtId="0" fontId="14" fillId="0" borderId="4" xfId="0" applyFont="1" applyBorder="1"/>
    <xf numFmtId="0" fontId="13" fillId="0" borderId="4" xfId="0" applyFont="1" applyBorder="1"/>
    <xf numFmtId="165" fontId="14" fillId="0" borderId="0" xfId="1" applyNumberFormat="1" applyFont="1" applyBorder="1"/>
    <xf numFmtId="165" fontId="14" fillId="0" borderId="5" xfId="1" applyNumberFormat="1" applyFont="1" applyBorder="1"/>
    <xf numFmtId="165" fontId="16" fillId="0" borderId="4" xfId="1" applyNumberFormat="1" applyFont="1" applyBorder="1"/>
    <xf numFmtId="165" fontId="13" fillId="0" borderId="4" xfId="1" applyNumberFormat="1" applyFont="1" applyBorder="1"/>
    <xf numFmtId="165" fontId="16" fillId="0" borderId="0" xfId="1" applyNumberFormat="1" applyFont="1" applyBorder="1"/>
    <xf numFmtId="165" fontId="16" fillId="0" borderId="5" xfId="1" applyNumberFormat="1" applyFont="1" applyBorder="1"/>
    <xf numFmtId="166" fontId="16" fillId="0" borderId="4" xfId="2" applyNumberFormat="1" applyFont="1" applyBorder="1"/>
    <xf numFmtId="165" fontId="14" fillId="0" borderId="7" xfId="1" applyNumberFormat="1" applyFont="1" applyBorder="1"/>
    <xf numFmtId="165" fontId="14" fillId="0" borderId="8" xfId="1" applyNumberFormat="1" applyFont="1" applyBorder="1"/>
    <xf numFmtId="165" fontId="14" fillId="0" borderId="1" xfId="1" applyNumberFormat="1" applyFont="1" applyBorder="1"/>
    <xf numFmtId="165" fontId="14" fillId="0" borderId="4" xfId="1" applyNumberFormat="1" applyFont="1" applyBorder="1"/>
    <xf numFmtId="0" fontId="16" fillId="0" borderId="4" xfId="0" applyFont="1" applyBorder="1"/>
    <xf numFmtId="165" fontId="13" fillId="0" borderId="0" xfId="1" applyNumberFormat="1" applyFont="1" applyBorder="1"/>
    <xf numFmtId="165" fontId="16" fillId="0" borderId="0" xfId="0" applyNumberFormat="1" applyFont="1" applyBorder="1"/>
    <xf numFmtId="0" fontId="16" fillId="0" borderId="0" xfId="0" applyFont="1" applyAlignment="1">
      <alignment horizontal="right"/>
    </xf>
    <xf numFmtId="0" fontId="14" fillId="0" borderId="5" xfId="0" applyFont="1" applyBorder="1"/>
    <xf numFmtId="0" fontId="16" fillId="0" borderId="0" xfId="0" quotePrefix="1" applyFont="1"/>
    <xf numFmtId="0" fontId="12" fillId="0" borderId="0" xfId="0" applyFont="1"/>
    <xf numFmtId="166" fontId="16" fillId="2" borderId="4" xfId="2" applyNumberFormat="1" applyFont="1" applyFill="1" applyBorder="1"/>
    <xf numFmtId="165" fontId="12" fillId="0" borderId="0" xfId="1" applyNumberFormat="1" applyFont="1"/>
    <xf numFmtId="165" fontId="20" fillId="0" borderId="0" xfId="1" applyNumberFormat="1" applyFont="1"/>
    <xf numFmtId="0" fontId="20" fillId="0" borderId="0" xfId="0" applyFont="1"/>
    <xf numFmtId="165" fontId="17" fillId="0" borderId="0" xfId="1" applyNumberFormat="1" applyFont="1"/>
    <xf numFmtId="0" fontId="17" fillId="0" borderId="0" xfId="0" applyFont="1"/>
    <xf numFmtId="165" fontId="21" fillId="0" borderId="0" xfId="1" applyNumberFormat="1" applyFont="1"/>
    <xf numFmtId="166" fontId="14" fillId="0" borderId="0" xfId="2" applyNumberFormat="1" applyFont="1" applyBorder="1"/>
    <xf numFmtId="0" fontId="12" fillId="0" borderId="4" xfId="0" applyFont="1" applyBorder="1"/>
    <xf numFmtId="0" fontId="12" fillId="0" borderId="6" xfId="0" applyFont="1" applyBorder="1"/>
    <xf numFmtId="0" fontId="14" fillId="0" borderId="8" xfId="0" applyFont="1" applyBorder="1"/>
    <xf numFmtId="166" fontId="14" fillId="2" borderId="5" xfId="2" applyNumberFormat="1" applyFont="1" applyFill="1" applyBorder="1"/>
    <xf numFmtId="166" fontId="19" fillId="0" borderId="0" xfId="2" applyNumberFormat="1" applyFont="1"/>
    <xf numFmtId="0" fontId="18" fillId="0" borderId="0" xfId="0" applyFont="1"/>
    <xf numFmtId="9" fontId="14" fillId="0" borderId="0" xfId="2" applyFont="1"/>
    <xf numFmtId="165" fontId="11" fillId="0" borderId="0" xfId="1" applyNumberFormat="1" applyFont="1"/>
    <xf numFmtId="165" fontId="10" fillId="0" borderId="0" xfId="1" applyNumberFormat="1" applyFont="1"/>
    <xf numFmtId="0" fontId="10" fillId="0" borderId="0" xfId="0" applyFont="1"/>
    <xf numFmtId="165" fontId="14" fillId="0" borderId="0" xfId="0" applyNumberFormat="1" applyFont="1"/>
    <xf numFmtId="165" fontId="16" fillId="0" borderId="0" xfId="1" applyNumberFormat="1" applyFont="1" applyAlignment="1">
      <alignment horizontal="right"/>
    </xf>
    <xf numFmtId="165" fontId="22" fillId="0" borderId="0" xfId="1" applyNumberFormat="1" applyFont="1" applyBorder="1"/>
    <xf numFmtId="165" fontId="9" fillId="0" borderId="0" xfId="0" applyNumberFormat="1" applyFont="1"/>
    <xf numFmtId="0" fontId="9" fillId="0" borderId="0" xfId="0" applyFont="1"/>
    <xf numFmtId="165" fontId="9" fillId="0" borderId="0" xfId="1" applyNumberFormat="1" applyFont="1"/>
    <xf numFmtId="9" fontId="14" fillId="3" borderId="0" xfId="2" applyFont="1" applyFill="1" applyAlignment="1">
      <alignment horizontal="left"/>
    </xf>
    <xf numFmtId="0" fontId="8" fillId="0" borderId="4" xfId="0" applyFont="1" applyBorder="1"/>
    <xf numFmtId="165" fontId="8" fillId="0" borderId="0" xfId="1" applyNumberFormat="1" applyFont="1"/>
    <xf numFmtId="0" fontId="7" fillId="0" borderId="0" xfId="0" applyFont="1"/>
    <xf numFmtId="165" fontId="7" fillId="0" borderId="0" xfId="1" applyNumberFormat="1" applyFont="1"/>
    <xf numFmtId="165" fontId="22" fillId="0" borderId="5" xfId="1" applyNumberFormat="1" applyFont="1" applyBorder="1" applyAlignment="1"/>
    <xf numFmtId="165" fontId="22" fillId="0" borderId="12" xfId="1" applyNumberFormat="1" applyFont="1" applyBorder="1" applyAlignment="1"/>
    <xf numFmtId="165" fontId="14" fillId="0" borderId="12" xfId="1" applyNumberFormat="1" applyFont="1" applyBorder="1"/>
    <xf numFmtId="165" fontId="16" fillId="0" borderId="12" xfId="1" applyNumberFormat="1" applyFont="1" applyBorder="1"/>
    <xf numFmtId="0" fontId="14" fillId="0" borderId="12" xfId="0" applyFont="1" applyBorder="1"/>
    <xf numFmtId="166" fontId="14" fillId="0" borderId="12" xfId="2" applyNumberFormat="1" applyFont="1" applyBorder="1"/>
    <xf numFmtId="165" fontId="14" fillId="0" borderId="13" xfId="1" applyNumberFormat="1" applyFont="1" applyBorder="1"/>
    <xf numFmtId="165" fontId="22" fillId="0" borderId="15" xfId="1" applyNumberFormat="1" applyFont="1" applyBorder="1" applyAlignment="1"/>
    <xf numFmtId="165" fontId="14" fillId="0" borderId="15" xfId="1" applyNumberFormat="1" applyFont="1" applyBorder="1"/>
    <xf numFmtId="165" fontId="16" fillId="0" borderId="15" xfId="1" applyNumberFormat="1" applyFont="1" applyBorder="1"/>
    <xf numFmtId="0" fontId="14" fillId="0" borderId="15" xfId="0" applyFont="1" applyBorder="1"/>
    <xf numFmtId="166" fontId="14" fillId="2" borderId="15" xfId="2" applyNumberFormat="1" applyFont="1" applyFill="1" applyBorder="1"/>
    <xf numFmtId="0" fontId="14" fillId="0" borderId="13" xfId="0" applyFont="1" applyBorder="1"/>
    <xf numFmtId="165" fontId="14" fillId="0" borderId="16" xfId="1" applyNumberFormat="1" applyFont="1" applyBorder="1"/>
    <xf numFmtId="166" fontId="14" fillId="0" borderId="15" xfId="2" applyNumberFormat="1" applyFont="1" applyBorder="1"/>
    <xf numFmtId="165" fontId="6" fillId="0" borderId="4" xfId="1" applyNumberFormat="1" applyFont="1" applyBorder="1"/>
    <xf numFmtId="165" fontId="22" fillId="0" borderId="12" xfId="1" applyNumberFormat="1" applyFont="1" applyBorder="1"/>
    <xf numFmtId="165" fontId="13" fillId="0" borderId="12" xfId="1" applyNumberFormat="1" applyFont="1" applyBorder="1"/>
    <xf numFmtId="165" fontId="16" fillId="0" borderId="12" xfId="0" applyNumberFormat="1" applyFont="1" applyBorder="1"/>
    <xf numFmtId="165" fontId="22" fillId="0" borderId="17" xfId="1" applyNumberFormat="1" applyFont="1" applyBorder="1"/>
    <xf numFmtId="165" fontId="22" fillId="0" borderId="18" xfId="1" applyNumberFormat="1" applyFont="1" applyBorder="1"/>
    <xf numFmtId="0" fontId="5" fillId="0" borderId="4" xfId="0" applyFont="1" applyBorder="1"/>
    <xf numFmtId="3" fontId="14" fillId="0" borderId="0" xfId="0" applyNumberFormat="1" applyFont="1"/>
    <xf numFmtId="3" fontId="13" fillId="0" borderId="0" xfId="1" applyNumberFormat="1" applyFont="1"/>
    <xf numFmtId="3" fontId="14" fillId="0" borderId="0" xfId="1" applyNumberFormat="1" applyFont="1"/>
    <xf numFmtId="0" fontId="4" fillId="0" borderId="0" xfId="0" applyFont="1"/>
    <xf numFmtId="165" fontId="3" fillId="0" borderId="0" xfId="1" applyNumberFormat="1" applyFont="1"/>
    <xf numFmtId="167" fontId="14" fillId="0" borderId="0" xfId="0" applyNumberFormat="1" applyFont="1"/>
    <xf numFmtId="165" fontId="2" fillId="0" borderId="0" xfId="1" applyNumberFormat="1" applyFont="1"/>
    <xf numFmtId="0" fontId="16" fillId="0" borderId="9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165" fontId="16" fillId="2" borderId="2" xfId="1" applyNumberFormat="1" applyFont="1" applyFill="1" applyBorder="1" applyAlignment="1">
      <alignment horizontal="center"/>
    </xf>
    <xf numFmtId="165" fontId="16" fillId="2" borderId="3" xfId="1" applyNumberFormat="1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165" fontId="24" fillId="0" borderId="0" xfId="1" applyNumberFormat="1" applyFont="1"/>
    <xf numFmtId="165" fontId="17" fillId="0" borderId="0" xfId="1" applyNumberFormat="1" applyFont="1" applyAlignment="1">
      <alignment horizontal="right"/>
    </xf>
    <xf numFmtId="165" fontId="23" fillId="0" borderId="0" xfId="0" applyNumberFormat="1" applyFont="1"/>
    <xf numFmtId="165" fontId="23" fillId="0" borderId="0" xfId="1" applyNumberFormat="1" applyFont="1"/>
    <xf numFmtId="0" fontId="1" fillId="0" borderId="0" xfId="0" quotePrefix="1" applyFont="1"/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V89"/>
  <sheetViews>
    <sheetView tabSelected="1" topLeftCell="B1" zoomScale="80" zoomScaleNormal="80" zoomScaleSheetLayoutView="80" workbookViewId="0">
      <selection activeCell="F11" sqref="F11"/>
    </sheetView>
  </sheetViews>
  <sheetFormatPr defaultColWidth="9.109375" defaultRowHeight="14.4" x14ac:dyDescent="0.35"/>
  <cols>
    <col min="1" max="1" width="25.5546875" style="1" customWidth="1"/>
    <col min="2" max="2" width="47.33203125" style="1" bestFit="1" customWidth="1"/>
    <col min="3" max="3" width="12.88671875" style="1" customWidth="1"/>
    <col min="4" max="4" width="15.33203125" style="1" bestFit="1" customWidth="1"/>
    <col min="5" max="5" width="10.6640625" style="1" customWidth="1"/>
    <col min="6" max="6" width="15.88671875" style="1" customWidth="1"/>
    <col min="7" max="7" width="11.33203125" style="1" customWidth="1"/>
    <col min="8" max="8" width="12.33203125" style="1" customWidth="1"/>
    <col min="9" max="9" width="5.109375" style="1" customWidth="1"/>
    <col min="10" max="10" width="47.109375" style="1" customWidth="1"/>
    <col min="11" max="11" width="12.33203125" style="1" bestFit="1" customWidth="1"/>
    <col min="12" max="12" width="11.5546875" style="1" bestFit="1" customWidth="1"/>
    <col min="13" max="13" width="10.109375" style="1" customWidth="1"/>
    <col min="14" max="14" width="11.109375" style="1" customWidth="1"/>
    <col min="15" max="16" width="14" style="1" bestFit="1" customWidth="1"/>
    <col min="17" max="17" width="9.109375" style="1"/>
    <col min="18" max="20" width="10.5546875" style="1" bestFit="1" customWidth="1"/>
    <col min="21" max="16384" width="9.109375" style="1"/>
  </cols>
  <sheetData>
    <row r="1" spans="1:22" x14ac:dyDescent="0.35">
      <c r="A1" s="7" t="s">
        <v>73</v>
      </c>
    </row>
    <row r="2" spans="1:22" x14ac:dyDescent="0.35">
      <c r="D2" s="2"/>
    </row>
    <row r="3" spans="1:22" x14ac:dyDescent="0.35">
      <c r="A3" s="7" t="s">
        <v>13</v>
      </c>
      <c r="D3" s="27" t="s">
        <v>79</v>
      </c>
    </row>
    <row r="4" spans="1:22" x14ac:dyDescent="0.35">
      <c r="A4" s="85" t="s">
        <v>78</v>
      </c>
      <c r="B4" s="3">
        <v>134940757</v>
      </c>
      <c r="C4" s="4" t="s">
        <v>5</v>
      </c>
      <c r="D4" s="82">
        <v>600729320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x14ac:dyDescent="0.35">
      <c r="A5" s="2" t="s">
        <v>3</v>
      </c>
      <c r="B5" s="3">
        <v>58849</v>
      </c>
      <c r="C5" s="4" t="s">
        <v>5</v>
      </c>
      <c r="D5" s="82">
        <v>261987</v>
      </c>
      <c r="E5" s="3">
        <f>+D5*0.2+6452</f>
        <v>58849.4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x14ac:dyDescent="0.35">
      <c r="A6" s="2" t="s">
        <v>4</v>
      </c>
      <c r="B6" s="3">
        <f>+B4/B5</f>
        <v>2293</v>
      </c>
      <c r="C6" s="4" t="s">
        <v>5</v>
      </c>
      <c r="D6" s="3">
        <f>+D4/D5</f>
        <v>2292.9737735078456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x14ac:dyDescent="0.35">
      <c r="A7" s="2" t="s">
        <v>9</v>
      </c>
      <c r="B7" s="6">
        <v>4.4999999999999998E-2</v>
      </c>
      <c r="C7" s="3"/>
      <c r="D7" s="8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x14ac:dyDescent="0.35">
      <c r="A8" s="58" t="s">
        <v>74</v>
      </c>
      <c r="B8" s="87">
        <v>21.98</v>
      </c>
      <c r="C8" s="59" t="s">
        <v>75</v>
      </c>
      <c r="D8" s="84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x14ac:dyDescent="0.35">
      <c r="C9" s="3"/>
      <c r="J9" s="5"/>
      <c r="P9" s="3"/>
      <c r="Q9" s="3"/>
      <c r="R9" s="3"/>
      <c r="S9" s="3"/>
      <c r="T9" s="3"/>
      <c r="U9" s="3"/>
      <c r="V9" s="3"/>
    </row>
    <row r="10" spans="1:22" x14ac:dyDescent="0.35">
      <c r="A10" s="7" t="s">
        <v>36</v>
      </c>
      <c r="B10" s="27" t="s">
        <v>89</v>
      </c>
      <c r="C10" s="27" t="s">
        <v>88</v>
      </c>
      <c r="D10" s="27" t="s">
        <v>43</v>
      </c>
      <c r="F10" s="99" t="s">
        <v>91</v>
      </c>
      <c r="G10" s="53" t="s">
        <v>69</v>
      </c>
      <c r="J10" s="9"/>
      <c r="P10" s="3"/>
      <c r="Q10" s="3"/>
      <c r="R10" s="3"/>
      <c r="S10" s="3"/>
      <c r="T10" s="3"/>
      <c r="U10" s="3"/>
      <c r="V10" s="3"/>
    </row>
    <row r="11" spans="1:22" x14ac:dyDescent="0.35">
      <c r="A11" s="2" t="s">
        <v>2</v>
      </c>
      <c r="B11" s="4">
        <v>12935054</v>
      </c>
      <c r="C11" s="3">
        <v>12935054</v>
      </c>
      <c r="D11" s="3">
        <v>314316520</v>
      </c>
      <c r="E11" s="55">
        <v>0</v>
      </c>
      <c r="F11" s="99" t="s">
        <v>92</v>
      </c>
      <c r="J11" s="3"/>
      <c r="P11" s="3"/>
      <c r="Q11" s="3"/>
      <c r="R11" s="3"/>
      <c r="S11" s="3"/>
      <c r="T11" s="3"/>
      <c r="U11" s="3"/>
      <c r="V11" s="3"/>
    </row>
    <row r="12" spans="1:22" x14ac:dyDescent="0.35">
      <c r="A12" s="2" t="s">
        <v>6</v>
      </c>
      <c r="B12" s="3">
        <v>-3199222</v>
      </c>
      <c r="C12" s="3">
        <v>-3674900</v>
      </c>
      <c r="D12" s="3">
        <v>-92591391</v>
      </c>
      <c r="E12" s="3"/>
      <c r="F12" s="57" t="s">
        <v>70</v>
      </c>
      <c r="G12" s="45"/>
      <c r="H12" s="3"/>
      <c r="I12" s="3"/>
      <c r="J12" s="3"/>
      <c r="P12" s="3"/>
      <c r="Q12" s="3"/>
      <c r="R12" s="3"/>
      <c r="S12" s="3"/>
      <c r="T12" s="3"/>
      <c r="U12" s="3"/>
      <c r="V12" s="3"/>
    </row>
    <row r="13" spans="1:22" x14ac:dyDescent="0.35">
      <c r="A13" s="7" t="s">
        <v>7</v>
      </c>
      <c r="B13" s="8">
        <f>SUM(B11:B12)</f>
        <v>9735832</v>
      </c>
      <c r="C13" s="8">
        <f>SUM(C11:C12)</f>
        <v>9260154</v>
      </c>
      <c r="D13" s="8">
        <f>SUM(D11:D12)</f>
        <v>221725129</v>
      </c>
      <c r="E13" s="3"/>
      <c r="F13" s="3"/>
      <c r="G13" s="45"/>
      <c r="H13" s="3"/>
      <c r="I13" s="3"/>
      <c r="J13" s="3"/>
      <c r="P13" s="3"/>
      <c r="Q13" s="3"/>
      <c r="R13" s="3"/>
      <c r="S13" s="3"/>
      <c r="T13" s="3"/>
      <c r="U13" s="3"/>
      <c r="V13" s="3"/>
    </row>
    <row r="14" spans="1:22" x14ac:dyDescent="0.35">
      <c r="A14" s="44" t="s">
        <v>66</v>
      </c>
      <c r="B14" s="43">
        <f>+B13/B4</f>
        <v>7.2148935699241704E-2</v>
      </c>
      <c r="C14" s="43">
        <f>+C13/B4</f>
        <v>6.8623848019468275E-2</v>
      </c>
      <c r="D14" s="43">
        <f>+(D13/25)/B4</f>
        <v>6.5725177160522383E-2</v>
      </c>
      <c r="E14" s="3"/>
      <c r="F14" s="3"/>
      <c r="G14" s="45"/>
      <c r="H14" s="3"/>
      <c r="I14" s="3"/>
      <c r="J14" s="3"/>
      <c r="P14" s="3"/>
      <c r="Q14" s="3"/>
      <c r="R14" s="3"/>
      <c r="S14" s="3"/>
      <c r="T14" s="3"/>
      <c r="U14" s="3"/>
      <c r="V14" s="3"/>
    </row>
    <row r="15" spans="1:22" x14ac:dyDescent="0.35">
      <c r="A15" s="2" t="s">
        <v>37</v>
      </c>
      <c r="B15" s="3">
        <f>+B4/-25</f>
        <v>-5397630.2800000003</v>
      </c>
      <c r="C15" s="3">
        <f>+B15</f>
        <v>-5397630.2800000003</v>
      </c>
      <c r="D15" s="3">
        <f>-B4</f>
        <v>-134940757</v>
      </c>
      <c r="E15" s="3"/>
      <c r="F15" s="3"/>
      <c r="G15" s="3"/>
      <c r="H15" s="3"/>
      <c r="I15" s="3"/>
      <c r="J15" s="3"/>
      <c r="P15" s="3"/>
      <c r="Q15" s="3"/>
      <c r="R15" s="3"/>
      <c r="S15" s="3"/>
      <c r="T15" s="3"/>
      <c r="U15" s="3"/>
      <c r="V15" s="3"/>
    </row>
    <row r="16" spans="1:22" x14ac:dyDescent="0.35">
      <c r="A16" s="7" t="s">
        <v>8</v>
      </c>
      <c r="B16" s="8">
        <f>+B13+B15</f>
        <v>4338201.72</v>
      </c>
      <c r="C16" s="8">
        <f>+C13+C15</f>
        <v>3862523.7199999997</v>
      </c>
      <c r="D16" s="8">
        <f>+D13+D15</f>
        <v>86784372</v>
      </c>
      <c r="E16" s="3"/>
      <c r="F16" s="3"/>
      <c r="G16" s="3"/>
      <c r="H16" s="3"/>
      <c r="I16" s="3"/>
      <c r="J16" s="3"/>
      <c r="P16" s="3"/>
      <c r="Q16" s="3"/>
      <c r="R16" s="3"/>
      <c r="S16" s="3"/>
      <c r="T16" s="3"/>
      <c r="U16" s="3"/>
      <c r="V16" s="3"/>
    </row>
    <row r="17" spans="1:22" x14ac:dyDescent="0.35">
      <c r="A17" s="44" t="s">
        <v>67</v>
      </c>
      <c r="B17" s="43">
        <f>+B16/B4</f>
        <v>3.2148935699241703E-2</v>
      </c>
      <c r="C17" s="43">
        <f>+C16/B4</f>
        <v>2.8623848019468275E-2</v>
      </c>
      <c r="D17" s="43">
        <f>+(D16/25)/B4</f>
        <v>2.5725177160522375E-2</v>
      </c>
      <c r="E17" s="3"/>
      <c r="F17" s="3"/>
      <c r="G17" s="3"/>
      <c r="H17" s="3"/>
      <c r="I17" s="3"/>
      <c r="J17" s="3"/>
      <c r="P17" s="3"/>
      <c r="Q17" s="3"/>
      <c r="R17" s="3"/>
      <c r="S17" s="3"/>
      <c r="T17" s="3"/>
      <c r="U17" s="3"/>
      <c r="V17" s="3"/>
    </row>
    <row r="18" spans="1:22" x14ac:dyDescent="0.35">
      <c r="A18" s="7"/>
      <c r="B18" s="43"/>
      <c r="C18" s="43"/>
      <c r="D18" s="43"/>
      <c r="E18" s="3"/>
      <c r="F18" s="3"/>
      <c r="G18" s="3"/>
      <c r="H18" s="3"/>
      <c r="I18" s="3"/>
      <c r="J18" s="3"/>
      <c r="P18" s="3"/>
      <c r="Q18" s="3"/>
      <c r="R18" s="3"/>
      <c r="S18" s="3"/>
      <c r="T18" s="3"/>
      <c r="U18" s="3"/>
      <c r="V18" s="3"/>
    </row>
    <row r="19" spans="1:22" x14ac:dyDescent="0.35">
      <c r="A19" s="29" t="s">
        <v>38</v>
      </c>
      <c r="B19" s="8"/>
      <c r="C19" s="8"/>
      <c r="D19" s="3"/>
      <c r="E19" s="3"/>
      <c r="F19" s="3"/>
      <c r="G19" s="3"/>
      <c r="H19" s="3"/>
      <c r="I19" s="3"/>
      <c r="J19" s="3"/>
      <c r="P19" s="3"/>
      <c r="Q19" s="3"/>
      <c r="R19" s="3"/>
      <c r="S19" s="3"/>
      <c r="T19" s="3"/>
      <c r="U19" s="3"/>
      <c r="V19" s="3"/>
    </row>
    <row r="20" spans="1:22" ht="15" thickBot="1" x14ac:dyDescent="0.4">
      <c r="A20" s="7"/>
      <c r="B20" s="8"/>
      <c r="C20" s="8"/>
      <c r="D20" s="3"/>
      <c r="E20" s="3"/>
      <c r="F20" s="3"/>
      <c r="G20" s="3"/>
      <c r="H20" s="3"/>
      <c r="I20" s="3"/>
      <c r="J20" s="3"/>
      <c r="P20" s="3"/>
      <c r="Q20" s="3"/>
      <c r="R20" s="3"/>
      <c r="S20" s="3"/>
      <c r="T20" s="3"/>
      <c r="U20" s="3"/>
      <c r="V20" s="3"/>
    </row>
    <row r="21" spans="1:22" ht="15.75" customHeight="1" x14ac:dyDescent="0.35">
      <c r="B21" s="10"/>
      <c r="C21" s="91" t="s">
        <v>0</v>
      </c>
      <c r="D21" s="91"/>
      <c r="E21" s="91"/>
      <c r="F21" s="91"/>
      <c r="G21" s="91"/>
      <c r="H21" s="92"/>
      <c r="I21" s="3"/>
      <c r="J21" s="22"/>
      <c r="K21" s="91" t="s">
        <v>1</v>
      </c>
      <c r="L21" s="91"/>
      <c r="M21" s="91"/>
      <c r="N21" s="91"/>
      <c r="O21" s="91"/>
      <c r="P21" s="92"/>
      <c r="Q21" s="3"/>
      <c r="R21" s="3"/>
      <c r="S21" s="3"/>
      <c r="T21" s="3"/>
      <c r="U21" s="3"/>
      <c r="V21" s="3"/>
    </row>
    <row r="22" spans="1:22" ht="15" thickBot="1" x14ac:dyDescent="0.4">
      <c r="B22" s="11"/>
      <c r="C22" s="93" t="s">
        <v>89</v>
      </c>
      <c r="D22" s="94"/>
      <c r="E22" s="93" t="s">
        <v>88</v>
      </c>
      <c r="F22" s="94"/>
      <c r="G22" s="93" t="s">
        <v>64</v>
      </c>
      <c r="H22" s="90"/>
      <c r="I22" s="3"/>
      <c r="J22" s="23"/>
      <c r="K22" s="93" t="s">
        <v>89</v>
      </c>
      <c r="L22" s="89"/>
      <c r="M22" s="93" t="s">
        <v>88</v>
      </c>
      <c r="N22" s="89"/>
      <c r="O22" s="89" t="s">
        <v>64</v>
      </c>
      <c r="P22" s="90"/>
      <c r="Q22" s="3"/>
      <c r="R22" s="3"/>
      <c r="S22" s="3"/>
      <c r="T22" s="3"/>
      <c r="U22" s="3"/>
      <c r="V22" s="3"/>
    </row>
    <row r="23" spans="1:22" x14ac:dyDescent="0.35">
      <c r="B23" s="12" t="s">
        <v>40</v>
      </c>
      <c r="C23" s="61">
        <v>32</v>
      </c>
      <c r="D23" s="67">
        <v>52</v>
      </c>
      <c r="E23" s="61">
        <f>+C23</f>
        <v>32</v>
      </c>
      <c r="F23" s="67">
        <f>+D23</f>
        <v>52</v>
      </c>
      <c r="G23" s="61">
        <f>+C23</f>
        <v>32</v>
      </c>
      <c r="H23" s="60">
        <f>+D23</f>
        <v>52</v>
      </c>
      <c r="I23" s="3"/>
      <c r="J23" s="12" t="s">
        <v>40</v>
      </c>
      <c r="K23" s="76">
        <f>+C23</f>
        <v>32</v>
      </c>
      <c r="L23" s="51">
        <f>+D23</f>
        <v>52</v>
      </c>
      <c r="M23" s="76">
        <f>+K23</f>
        <v>32</v>
      </c>
      <c r="N23" s="51">
        <f>+L23</f>
        <v>52</v>
      </c>
      <c r="O23" s="79">
        <f>+K23</f>
        <v>32</v>
      </c>
      <c r="P23" s="80">
        <f>+L23</f>
        <v>52</v>
      </c>
      <c r="Q23" s="3"/>
      <c r="R23" s="3"/>
      <c r="S23" s="3"/>
      <c r="T23" s="3"/>
      <c r="U23" s="3"/>
      <c r="V23" s="3"/>
    </row>
    <row r="24" spans="1:22" x14ac:dyDescent="0.35">
      <c r="B24" s="11"/>
      <c r="C24" s="62"/>
      <c r="D24" s="68"/>
      <c r="E24" s="62"/>
      <c r="F24" s="68"/>
      <c r="G24" s="62"/>
      <c r="H24" s="14"/>
      <c r="I24" s="3"/>
      <c r="J24" s="23"/>
      <c r="K24" s="62"/>
      <c r="L24" s="13"/>
      <c r="M24" s="62"/>
      <c r="N24" s="13"/>
      <c r="O24" s="62"/>
      <c r="P24" s="14"/>
      <c r="Q24" s="3"/>
      <c r="R24" s="3"/>
      <c r="S24" s="3"/>
      <c r="T24" s="3"/>
      <c r="U24" s="3"/>
      <c r="V24" s="3"/>
    </row>
    <row r="25" spans="1:22" x14ac:dyDescent="0.35">
      <c r="A25" s="8"/>
      <c r="B25" s="12" t="s">
        <v>13</v>
      </c>
      <c r="C25" s="62">
        <f>+B4/B5*C23</f>
        <v>73376</v>
      </c>
      <c r="D25" s="68">
        <f>+B4/B5*D23</f>
        <v>119236</v>
      </c>
      <c r="E25" s="62">
        <f>+C25</f>
        <v>73376</v>
      </c>
      <c r="F25" s="68">
        <f>+D25</f>
        <v>119236</v>
      </c>
      <c r="G25" s="62">
        <f>+E25</f>
        <v>73376</v>
      </c>
      <c r="H25" s="14">
        <f>+F25</f>
        <v>119236</v>
      </c>
      <c r="I25" s="3"/>
      <c r="J25" s="12" t="s">
        <v>13</v>
      </c>
      <c r="K25" s="62">
        <f>+C25</f>
        <v>73376</v>
      </c>
      <c r="L25" s="13">
        <f>+D25</f>
        <v>119236</v>
      </c>
      <c r="M25" s="62">
        <f>+E25</f>
        <v>73376</v>
      </c>
      <c r="N25" s="13">
        <f>+F25</f>
        <v>119236</v>
      </c>
      <c r="O25" s="62">
        <f>+M25</f>
        <v>73376</v>
      </c>
      <c r="P25" s="14">
        <f>+N25</f>
        <v>119236</v>
      </c>
      <c r="Q25" s="3"/>
      <c r="R25" s="3"/>
      <c r="S25" s="3"/>
      <c r="T25" s="3"/>
      <c r="U25" s="3"/>
      <c r="V25" s="3"/>
    </row>
    <row r="26" spans="1:22" x14ac:dyDescent="0.35">
      <c r="A26" s="8"/>
      <c r="B26" s="12"/>
      <c r="C26" s="62"/>
      <c r="D26" s="68"/>
      <c r="E26" s="62"/>
      <c r="F26" s="68"/>
      <c r="G26" s="62"/>
      <c r="H26" s="14"/>
      <c r="I26" s="3"/>
      <c r="J26" s="12"/>
      <c r="K26" s="62"/>
      <c r="L26" s="13"/>
      <c r="M26" s="62"/>
      <c r="N26" s="13"/>
      <c r="O26" s="62"/>
      <c r="P26" s="14"/>
      <c r="Q26" s="3"/>
      <c r="R26" s="3"/>
      <c r="S26" s="3"/>
      <c r="T26" s="3"/>
      <c r="U26" s="3"/>
      <c r="V26" s="3"/>
    </row>
    <row r="27" spans="1:22" x14ac:dyDescent="0.35">
      <c r="A27" s="8"/>
      <c r="B27" s="16" t="s">
        <v>15</v>
      </c>
      <c r="C27" s="62">
        <f>+B11/$B$5*C23</f>
        <v>7033.6238168872878</v>
      </c>
      <c r="D27" s="68">
        <f>+B11/$B$5*D23</f>
        <v>11429.638702441844</v>
      </c>
      <c r="E27" s="62">
        <f>+C11/$B$5*E23</f>
        <v>7033.6238168872878</v>
      </c>
      <c r="F27" s="68">
        <f>+C11/$B$5*F23</f>
        <v>11429.638702441844</v>
      </c>
      <c r="G27" s="62">
        <f>+D11/$B$5*G23</f>
        <v>170914.18103960986</v>
      </c>
      <c r="H27" s="14">
        <f>+D11/$B$5*H23</f>
        <v>277735.54418936605</v>
      </c>
      <c r="I27" s="3"/>
      <c r="J27" s="12" t="s">
        <v>2</v>
      </c>
      <c r="K27" s="62">
        <f>+B11/$B$5*K23</f>
        <v>7033.6238168872878</v>
      </c>
      <c r="L27" s="13">
        <f>+B11/$B$5*L23</f>
        <v>11429.638702441844</v>
      </c>
      <c r="M27" s="62">
        <f>+C11/$B$5*M23</f>
        <v>7033.6238168872878</v>
      </c>
      <c r="N27" s="13">
        <f>+C11/$B$5*N23</f>
        <v>11429.638702441844</v>
      </c>
      <c r="O27" s="62">
        <f>+D11/$B$5*O23</f>
        <v>170914.18103960986</v>
      </c>
      <c r="P27" s="14">
        <f>+D11/$B$5*P23</f>
        <v>277735.54418936605</v>
      </c>
      <c r="Q27" s="3"/>
      <c r="R27" s="3"/>
      <c r="S27" s="3"/>
      <c r="T27" s="3"/>
      <c r="U27" s="3"/>
      <c r="V27" s="3"/>
    </row>
    <row r="28" spans="1:22" x14ac:dyDescent="0.35">
      <c r="A28" s="8"/>
      <c r="B28" s="75" t="s">
        <v>76</v>
      </c>
      <c r="C28" s="62">
        <v>7000</v>
      </c>
      <c r="D28" s="68">
        <v>7000</v>
      </c>
      <c r="E28" s="62">
        <v>7000</v>
      </c>
      <c r="F28" s="68">
        <v>7000</v>
      </c>
      <c r="G28" s="62">
        <f>7000*25</f>
        <v>175000</v>
      </c>
      <c r="H28" s="14">
        <f>7000*25</f>
        <v>175000</v>
      </c>
      <c r="I28" s="3"/>
      <c r="J28" s="12" t="s">
        <v>6</v>
      </c>
      <c r="K28" s="62">
        <f>+B12/$B$5*K23</f>
        <v>-1739.6235110197285</v>
      </c>
      <c r="L28" s="13">
        <f>+B12/$B$5*L23</f>
        <v>-2826.8882054070591</v>
      </c>
      <c r="M28" s="62">
        <f>+C12/$B$5*M23</f>
        <v>-1998.2803446107835</v>
      </c>
      <c r="N28" s="13">
        <f>+C12/$B$5*N23</f>
        <v>-3247.2055599925229</v>
      </c>
      <c r="O28" s="62">
        <f>+D12/$B$5*O23</f>
        <v>-50347.916056347603</v>
      </c>
      <c r="P28" s="14">
        <f>+D12/$B$5*P23</f>
        <v>-81815.363591564848</v>
      </c>
      <c r="Q28" s="3"/>
      <c r="R28" s="3"/>
      <c r="S28" s="3"/>
      <c r="T28" s="3"/>
      <c r="U28" s="3"/>
      <c r="V28" s="3"/>
    </row>
    <row r="29" spans="1:22" x14ac:dyDescent="0.35">
      <c r="A29" s="3"/>
      <c r="B29" s="15" t="s">
        <v>10</v>
      </c>
      <c r="C29" s="63">
        <f>+C27-C28</f>
        <v>33.62381688728783</v>
      </c>
      <c r="D29" s="69">
        <f>+D27-D28</f>
        <v>4429.6387024418436</v>
      </c>
      <c r="E29" s="63">
        <f t="shared" ref="E29" si="0">+E27-E28</f>
        <v>33.62381688728783</v>
      </c>
      <c r="F29" s="69">
        <f>+F27-F28</f>
        <v>4429.6387024418436</v>
      </c>
      <c r="G29" s="63">
        <f>+G27-G28</f>
        <v>-4085.818960390141</v>
      </c>
      <c r="H29" s="18">
        <f>+H27-H28</f>
        <v>102735.54418936605</v>
      </c>
      <c r="I29" s="3"/>
      <c r="J29" s="24" t="s">
        <v>7</v>
      </c>
      <c r="K29" s="63">
        <f>SUM(K27:K28)</f>
        <v>5294.0003058675593</v>
      </c>
      <c r="L29" s="17">
        <f>SUM(L27:L28)</f>
        <v>8602.7504970347836</v>
      </c>
      <c r="M29" s="63">
        <f t="shared" ref="M29:N29" si="1">SUM(M27:M28)</f>
        <v>5035.3434722765041</v>
      </c>
      <c r="N29" s="17">
        <f t="shared" si="1"/>
        <v>8182.4331424493212</v>
      </c>
      <c r="O29" s="63">
        <f>SUM(O27:O28)</f>
        <v>120566.26498326226</v>
      </c>
      <c r="P29" s="18">
        <f>SUM(P27:P28)</f>
        <v>195920.1805978012</v>
      </c>
      <c r="Q29" s="3"/>
      <c r="R29" s="3"/>
      <c r="S29" s="3"/>
      <c r="T29" s="3"/>
      <c r="U29" s="3"/>
      <c r="V29" s="3"/>
    </row>
    <row r="30" spans="1:22" x14ac:dyDescent="0.35">
      <c r="A30" s="3"/>
      <c r="B30" s="16" t="s">
        <v>11</v>
      </c>
      <c r="C30" s="62">
        <f>IF(C29&lt;0,0,C29*-0.4)</f>
        <v>-13.449526754915134</v>
      </c>
      <c r="D30" s="68">
        <f>IF(D29&lt;0,0,D29*-0.4)</f>
        <v>-1771.8554809767375</v>
      </c>
      <c r="E30" s="62">
        <f>IF(E29&lt;0,0,E29*-0.4)</f>
        <v>-13.449526754915134</v>
      </c>
      <c r="F30" s="68">
        <f>IF(F29&lt;0,0,F29*-0.4)</f>
        <v>-1771.8554809767375</v>
      </c>
      <c r="G30" s="62">
        <f t="shared" ref="G30" si="2">IF(G29&lt;0,0,G29*-0.4)</f>
        <v>0</v>
      </c>
      <c r="H30" s="14">
        <f>IF(H29&lt;0,0,H29*-0.4)</f>
        <v>-41094.217675746419</v>
      </c>
      <c r="I30" s="3"/>
      <c r="J30" s="16" t="s">
        <v>12</v>
      </c>
      <c r="K30" s="77">
        <f>-K29</f>
        <v>-5294.0003058675593</v>
      </c>
      <c r="L30" s="25">
        <f>-L29</f>
        <v>-8602.7504970347836</v>
      </c>
      <c r="M30" s="62">
        <f>+O63</f>
        <v>-5035.3434722765041</v>
      </c>
      <c r="N30" s="13">
        <f>+P63</f>
        <v>-8182.4331424493212</v>
      </c>
      <c r="O30" s="62">
        <f>IF(O29&lt;0,0,-B4/B5*O23)</f>
        <v>-73376</v>
      </c>
      <c r="P30" s="14">
        <f>IF(P29&lt;0,0,-B4/B5*P23)</f>
        <v>-119236</v>
      </c>
      <c r="Q30" s="3"/>
      <c r="R30" s="3"/>
      <c r="S30" s="3"/>
      <c r="T30" s="3"/>
      <c r="U30" s="3"/>
      <c r="V30" s="3"/>
    </row>
    <row r="31" spans="1:22" x14ac:dyDescent="0.35">
      <c r="A31" s="3"/>
      <c r="B31" s="15" t="s">
        <v>16</v>
      </c>
      <c r="C31" s="63">
        <f>IF(C29+C30&lt;0,0,C29+C30)</f>
        <v>20.174290132372697</v>
      </c>
      <c r="D31" s="69">
        <f>IF(D29+D30&lt;0,0,D29+D30)</f>
        <v>2657.7832214651062</v>
      </c>
      <c r="E31" s="63">
        <f>IF(E29+E30&lt;0,0,E29+E30)</f>
        <v>20.174290132372697</v>
      </c>
      <c r="F31" s="69">
        <f>IF(F29+F30&lt;0,0,F29+F30)</f>
        <v>2657.7832214651062</v>
      </c>
      <c r="G31" s="63">
        <f t="shared" ref="G31" si="3">IF(G29+G30&lt;0,0,G29+G30)</f>
        <v>0</v>
      </c>
      <c r="H31" s="18">
        <f>IF(H29+H30&lt;0,0,H29+H30)</f>
        <v>61641.326513619628</v>
      </c>
      <c r="I31" s="8"/>
      <c r="J31" s="15" t="s">
        <v>16</v>
      </c>
      <c r="K31" s="78">
        <f>+K29+K30</f>
        <v>0</v>
      </c>
      <c r="L31" s="26">
        <f>+L29+L30</f>
        <v>0</v>
      </c>
      <c r="M31" s="78">
        <f>+M29+M30</f>
        <v>0</v>
      </c>
      <c r="N31" s="26">
        <f>+N29+N30</f>
        <v>0</v>
      </c>
      <c r="O31" s="63">
        <f>IF(O29+O30&lt;0,0,O29+O30)</f>
        <v>47190.264983262256</v>
      </c>
      <c r="P31" s="18">
        <f>IF(P29+P30&lt;0,0,P29+P30)</f>
        <v>76684.180597801198</v>
      </c>
      <c r="Q31" s="3"/>
      <c r="R31" s="3"/>
      <c r="S31" s="3"/>
      <c r="T31" s="3"/>
      <c r="U31" s="3"/>
      <c r="V31" s="3"/>
    </row>
    <row r="32" spans="1:22" x14ac:dyDescent="0.35">
      <c r="A32" s="3"/>
      <c r="B32" s="16" t="s">
        <v>39</v>
      </c>
      <c r="C32" s="64"/>
      <c r="D32" s="70"/>
      <c r="E32" s="64"/>
      <c r="F32" s="70"/>
      <c r="G32" s="64"/>
      <c r="H32" s="28"/>
      <c r="I32" s="3"/>
      <c r="J32" s="16" t="s">
        <v>39</v>
      </c>
      <c r="K32" s="62"/>
      <c r="L32" s="13"/>
      <c r="M32" s="62"/>
      <c r="N32" s="13"/>
      <c r="O32" s="64"/>
      <c r="P32" s="28"/>
      <c r="Q32" s="3"/>
      <c r="R32" s="3"/>
      <c r="S32" s="3"/>
      <c r="T32" s="3"/>
      <c r="U32" s="3"/>
      <c r="V32" s="3"/>
    </row>
    <row r="33" spans="1:22" x14ac:dyDescent="0.35">
      <c r="A33" s="3"/>
      <c r="B33" s="16" t="s">
        <v>14</v>
      </c>
      <c r="C33" s="62"/>
      <c r="D33" s="68"/>
      <c r="E33" s="62"/>
      <c r="F33" s="68"/>
      <c r="G33" s="62"/>
      <c r="H33" s="14"/>
      <c r="I33" s="8"/>
      <c r="J33" s="16" t="s">
        <v>14</v>
      </c>
      <c r="K33" s="62"/>
      <c r="L33" s="13"/>
      <c r="M33" s="62"/>
      <c r="N33" s="13"/>
      <c r="O33" s="62"/>
      <c r="P33" s="14"/>
      <c r="Q33" s="3"/>
      <c r="R33" s="3"/>
      <c r="S33" s="3"/>
      <c r="T33" s="3"/>
      <c r="U33" s="3"/>
      <c r="V33" s="3"/>
    </row>
    <row r="34" spans="1:22" x14ac:dyDescent="0.35">
      <c r="A34" s="86" t="s">
        <v>82</v>
      </c>
      <c r="B34" s="31" t="s">
        <v>81</v>
      </c>
      <c r="C34" s="62">
        <f t="shared" ref="C34:H34" si="4">+C31*0.375</f>
        <v>7.5653587996397613</v>
      </c>
      <c r="D34" s="68">
        <f t="shared" si="4"/>
        <v>996.66870804941482</v>
      </c>
      <c r="E34" s="62">
        <f t="shared" si="4"/>
        <v>7.5653587996397613</v>
      </c>
      <c r="F34" s="68">
        <f t="shared" si="4"/>
        <v>996.66870804941482</v>
      </c>
      <c r="G34" s="62">
        <f t="shared" si="4"/>
        <v>0</v>
      </c>
      <c r="H34" s="68">
        <f t="shared" si="4"/>
        <v>23115.49744260736</v>
      </c>
      <c r="I34" s="3"/>
      <c r="J34" s="31" t="s">
        <v>84</v>
      </c>
      <c r="K34" s="62">
        <f t="shared" ref="K34:P34" si="5">+K31*0.25</f>
        <v>0</v>
      </c>
      <c r="L34" s="68">
        <f t="shared" si="5"/>
        <v>0</v>
      </c>
      <c r="M34" s="62">
        <f t="shared" si="5"/>
        <v>0</v>
      </c>
      <c r="N34" s="68">
        <f t="shared" si="5"/>
        <v>0</v>
      </c>
      <c r="O34" s="62">
        <f t="shared" si="5"/>
        <v>11797.566245815564</v>
      </c>
      <c r="P34" s="68">
        <f t="shared" si="5"/>
        <v>19171.0451494503</v>
      </c>
      <c r="Q34" s="86" t="s">
        <v>86</v>
      </c>
      <c r="R34" s="3"/>
      <c r="S34" s="3"/>
      <c r="T34" s="3"/>
      <c r="U34" s="3"/>
      <c r="V34" s="3"/>
    </row>
    <row r="35" spans="1:22" x14ac:dyDescent="0.35">
      <c r="A35" s="86" t="s">
        <v>83</v>
      </c>
      <c r="B35" s="31" t="s">
        <v>80</v>
      </c>
      <c r="C35" s="62">
        <f t="shared" ref="C35:H35" si="6">+C31*0.525</f>
        <v>10.591502319495666</v>
      </c>
      <c r="D35" s="68">
        <f t="shared" si="6"/>
        <v>1395.3361912691807</v>
      </c>
      <c r="E35" s="62">
        <f t="shared" si="6"/>
        <v>10.591502319495666</v>
      </c>
      <c r="F35" s="68">
        <f t="shared" si="6"/>
        <v>1395.3361912691807</v>
      </c>
      <c r="G35" s="62">
        <f t="shared" si="6"/>
        <v>0</v>
      </c>
      <c r="H35" s="68">
        <f t="shared" si="6"/>
        <v>32361.696419650307</v>
      </c>
      <c r="I35" s="3"/>
      <c r="J35" s="31" t="s">
        <v>85</v>
      </c>
      <c r="K35" s="62">
        <f t="shared" ref="K35:P35" si="7">+K31*0.42</f>
        <v>0</v>
      </c>
      <c r="L35" s="68">
        <f t="shared" si="7"/>
        <v>0</v>
      </c>
      <c r="M35" s="62">
        <f t="shared" si="7"/>
        <v>0</v>
      </c>
      <c r="N35" s="68">
        <f t="shared" si="7"/>
        <v>0</v>
      </c>
      <c r="O35" s="62">
        <f t="shared" si="7"/>
        <v>19819.911292970148</v>
      </c>
      <c r="P35" s="68">
        <f t="shared" si="7"/>
        <v>32207.355851076503</v>
      </c>
      <c r="Q35" s="86" t="s">
        <v>87</v>
      </c>
      <c r="R35" s="3"/>
      <c r="S35" s="3"/>
      <c r="T35" s="3"/>
      <c r="U35" s="3"/>
      <c r="V35" s="3"/>
    </row>
    <row r="36" spans="1:22" x14ac:dyDescent="0.35">
      <c r="A36" s="3"/>
      <c r="B36" s="19"/>
      <c r="C36" s="62"/>
      <c r="D36" s="68"/>
      <c r="E36" s="62"/>
      <c r="F36" s="68"/>
      <c r="G36" s="62"/>
      <c r="H36" s="14"/>
      <c r="I36" s="3"/>
      <c r="J36" s="19"/>
      <c r="K36" s="62"/>
      <c r="L36" s="13"/>
      <c r="M36" s="62"/>
      <c r="N36" s="13"/>
      <c r="O36" s="62"/>
      <c r="P36" s="14"/>
      <c r="Q36" s="3"/>
      <c r="R36" s="3"/>
      <c r="S36" s="3"/>
      <c r="T36" s="3"/>
      <c r="U36" s="3"/>
      <c r="V36" s="3"/>
    </row>
    <row r="37" spans="1:22" x14ac:dyDescent="0.35">
      <c r="A37" s="3"/>
      <c r="B37" s="81" t="s">
        <v>77</v>
      </c>
      <c r="C37" s="62">
        <f>+B16/B5*C23</f>
        <v>2358.9603058675593</v>
      </c>
      <c r="D37" s="68">
        <f>+B16/B5*D23</f>
        <v>3833.310497034784</v>
      </c>
      <c r="E37" s="62">
        <f>+C16/B5*E23</f>
        <v>2100.3034722765042</v>
      </c>
      <c r="F37" s="68">
        <f>+C16/B5*F23</f>
        <v>3412.9931424493193</v>
      </c>
      <c r="G37" s="62">
        <f>+D16/B5*G23</f>
        <v>47190.264983262248</v>
      </c>
      <c r="H37" s="14">
        <f>+D16/B5*H23</f>
        <v>76684.180597801154</v>
      </c>
      <c r="I37" s="3"/>
      <c r="J37" s="81" t="s">
        <v>77</v>
      </c>
      <c r="K37" s="62">
        <f>+B16/B5*K23</f>
        <v>2358.9603058675593</v>
      </c>
      <c r="L37" s="13">
        <f>+B16/B5*L23</f>
        <v>3833.310497034784</v>
      </c>
      <c r="M37" s="62">
        <f>+C16/B5*M23</f>
        <v>2100.3034722765042</v>
      </c>
      <c r="N37" s="13">
        <f>+C16/B5*N23</f>
        <v>3412.9931424493193</v>
      </c>
      <c r="O37" s="62">
        <f>+D16/B5*O23</f>
        <v>47190.264983262248</v>
      </c>
      <c r="P37" s="14">
        <f>+D16/B5*P23</f>
        <v>76684.180597801154</v>
      </c>
      <c r="Q37" s="3"/>
      <c r="R37" s="3"/>
      <c r="S37" s="3"/>
      <c r="T37" s="3"/>
      <c r="U37" s="3"/>
      <c r="V37" s="3"/>
    </row>
    <row r="38" spans="1:22" x14ac:dyDescent="0.35">
      <c r="A38" s="3"/>
      <c r="B38" s="39"/>
      <c r="C38" s="62"/>
      <c r="D38" s="68"/>
      <c r="E38" s="62"/>
      <c r="F38" s="68"/>
      <c r="G38" s="62"/>
      <c r="H38" s="14"/>
      <c r="I38" s="3"/>
      <c r="J38" s="39"/>
      <c r="K38" s="62"/>
      <c r="L38" s="13"/>
      <c r="M38" s="62"/>
      <c r="N38" s="13"/>
      <c r="O38" s="62"/>
      <c r="P38" s="14"/>
      <c r="Q38" s="3"/>
      <c r="R38" s="3"/>
      <c r="S38" s="3"/>
      <c r="T38" s="3"/>
      <c r="U38" s="3"/>
      <c r="V38" s="3"/>
    </row>
    <row r="39" spans="1:22" x14ac:dyDescent="0.35">
      <c r="A39" s="3"/>
      <c r="B39" s="56" t="s">
        <v>71</v>
      </c>
      <c r="C39" s="65">
        <f>+C34/C37</f>
        <v>3.2070733792434183E-3</v>
      </c>
      <c r="D39" s="74">
        <f>+D34/D37</f>
        <v>0.26000208144380088</v>
      </c>
      <c r="E39" s="65">
        <f t="shared" ref="E39:G39" si="8">+E34/E37</f>
        <v>3.6020312776228105E-3</v>
      </c>
      <c r="F39" s="71">
        <f>+F34/F37</f>
        <v>0.29202189001005724</v>
      </c>
      <c r="G39" s="65">
        <f t="shared" si="8"/>
        <v>0</v>
      </c>
      <c r="H39" s="42">
        <f>+H34/H37</f>
        <v>0.30143762719256567</v>
      </c>
      <c r="I39" s="3"/>
      <c r="J39" s="56" t="s">
        <v>71</v>
      </c>
      <c r="K39" s="65">
        <f>+K34/K37</f>
        <v>0</v>
      </c>
      <c r="L39" s="38">
        <f>+L34/L37</f>
        <v>0</v>
      </c>
      <c r="M39" s="65">
        <f t="shared" ref="M39:N39" si="9">+M34/M37</f>
        <v>0</v>
      </c>
      <c r="N39" s="38">
        <f t="shared" si="9"/>
        <v>0</v>
      </c>
      <c r="O39" s="65">
        <f>+O34/O37</f>
        <v>0.25000000000000006</v>
      </c>
      <c r="P39" s="42">
        <f>+P34/P37</f>
        <v>0.25000000000000017</v>
      </c>
      <c r="Q39" s="3"/>
      <c r="R39" s="3"/>
      <c r="S39" s="3"/>
      <c r="T39" s="3"/>
      <c r="U39" s="3"/>
      <c r="V39" s="3"/>
    </row>
    <row r="40" spans="1:22" x14ac:dyDescent="0.35">
      <c r="A40" s="3"/>
      <c r="B40" s="56" t="s">
        <v>72</v>
      </c>
      <c r="C40" s="65">
        <f>+C35/C37</f>
        <v>4.4899027309407858E-3</v>
      </c>
      <c r="D40" s="74">
        <f>+D35/D37</f>
        <v>0.36400291402132123</v>
      </c>
      <c r="E40" s="65">
        <f t="shared" ref="E40:G40" si="10">+E35/E37</f>
        <v>5.0428437886719342E-3</v>
      </c>
      <c r="F40" s="71">
        <f>+F35/F37</f>
        <v>0.40883064601408015</v>
      </c>
      <c r="G40" s="65">
        <f t="shared" si="10"/>
        <v>0</v>
      </c>
      <c r="H40" s="42">
        <f>+H35/H37</f>
        <v>0.42201267806959192</v>
      </c>
      <c r="I40" s="3"/>
      <c r="J40" s="56" t="s">
        <v>72</v>
      </c>
      <c r="K40" s="65">
        <f>+K35/K37</f>
        <v>0</v>
      </c>
      <c r="L40" s="38">
        <f t="shared" ref="L40:N40" si="11">+L35/L37</f>
        <v>0</v>
      </c>
      <c r="M40" s="65">
        <f t="shared" si="11"/>
        <v>0</v>
      </c>
      <c r="N40" s="38">
        <f t="shared" si="11"/>
        <v>0</v>
      </c>
      <c r="O40" s="65">
        <f>+O35/O37</f>
        <v>0.4200000000000001</v>
      </c>
      <c r="P40" s="42">
        <f>+P35/P37</f>
        <v>0.42000000000000026</v>
      </c>
      <c r="Q40" s="3"/>
      <c r="R40" s="3"/>
      <c r="S40" s="3"/>
      <c r="T40" s="3"/>
      <c r="U40" s="3"/>
      <c r="V40" s="3"/>
    </row>
    <row r="41" spans="1:22" ht="15" thickBot="1" x14ac:dyDescent="0.4">
      <c r="A41" s="3"/>
      <c r="B41" s="40"/>
      <c r="C41" s="66"/>
      <c r="D41" s="73"/>
      <c r="E41" s="72"/>
      <c r="F41" s="73"/>
      <c r="G41" s="66"/>
      <c r="H41" s="21"/>
      <c r="I41" s="3"/>
      <c r="J41" s="40"/>
      <c r="K41" s="66"/>
      <c r="L41" s="20"/>
      <c r="M41" s="66"/>
      <c r="N41" s="20"/>
      <c r="O41" s="66"/>
      <c r="P41" s="41"/>
      <c r="Q41" s="3"/>
      <c r="R41" s="3"/>
      <c r="S41" s="3"/>
      <c r="T41" s="3"/>
      <c r="U41" s="3"/>
      <c r="V41" s="3"/>
    </row>
    <row r="42" spans="1:22" x14ac:dyDescent="0.35">
      <c r="A42" s="3"/>
      <c r="B42" s="30"/>
      <c r="C42" s="3"/>
      <c r="D42" s="3"/>
      <c r="I42" s="3"/>
      <c r="J42" s="3"/>
      <c r="K42" s="3"/>
      <c r="L42" s="3"/>
      <c r="M42" s="3"/>
      <c r="N42" s="3"/>
      <c r="O42" s="3"/>
      <c r="Q42" s="3"/>
      <c r="R42" s="3"/>
      <c r="S42" s="3"/>
      <c r="T42" s="3"/>
      <c r="U42" s="3"/>
      <c r="V42" s="3"/>
    </row>
    <row r="43" spans="1:22" x14ac:dyDescent="0.3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Q43" s="3"/>
      <c r="R43" s="3"/>
      <c r="S43" s="3"/>
      <c r="T43" s="3"/>
      <c r="U43" s="3"/>
      <c r="V43" s="3"/>
    </row>
    <row r="44" spans="1:22" x14ac:dyDescent="0.35">
      <c r="A44" s="8" t="s">
        <v>20</v>
      </c>
      <c r="B44" s="4" t="s">
        <v>42</v>
      </c>
      <c r="C44" s="3"/>
      <c r="D44" s="3"/>
      <c r="E44" s="3"/>
      <c r="F44" s="3"/>
      <c r="G44" s="3"/>
      <c r="H44" s="3"/>
      <c r="I44" s="3"/>
      <c r="J44" s="4" t="s">
        <v>41</v>
      </c>
      <c r="K44" s="3"/>
      <c r="L44" s="3"/>
      <c r="M44" s="3"/>
      <c r="N44" s="3"/>
      <c r="O44" s="3"/>
      <c r="Q44" s="3"/>
      <c r="R44" s="3"/>
      <c r="S44" s="3"/>
      <c r="T44" s="3"/>
      <c r="U44" s="3"/>
      <c r="V44" s="3"/>
    </row>
    <row r="45" spans="1:22" x14ac:dyDescent="0.35">
      <c r="A45" s="8" t="s">
        <v>21</v>
      </c>
      <c r="B45" s="4" t="s">
        <v>17</v>
      </c>
      <c r="C45" s="3"/>
      <c r="D45" s="3"/>
      <c r="E45" s="3"/>
      <c r="F45" s="3"/>
      <c r="G45" s="3"/>
      <c r="H45" s="3"/>
      <c r="I45" s="3"/>
      <c r="J45" s="4" t="s">
        <v>17</v>
      </c>
      <c r="K45" s="3"/>
      <c r="L45" s="3"/>
      <c r="M45" s="3"/>
      <c r="N45" s="3"/>
      <c r="O45" s="3"/>
      <c r="Q45" s="3"/>
      <c r="R45" s="3"/>
      <c r="S45" s="3"/>
      <c r="T45" s="3"/>
      <c r="U45" s="3"/>
      <c r="V45" s="3"/>
    </row>
    <row r="46" spans="1:22" x14ac:dyDescent="0.35">
      <c r="A46" s="8" t="s">
        <v>22</v>
      </c>
      <c r="B46" s="4" t="s">
        <v>18</v>
      </c>
      <c r="C46" s="3"/>
      <c r="D46" s="3"/>
      <c r="E46" s="3"/>
      <c r="F46" s="3"/>
      <c r="G46" s="3"/>
      <c r="H46" s="3"/>
      <c r="I46" s="3"/>
      <c r="J46" s="4" t="s">
        <v>18</v>
      </c>
      <c r="K46" s="3"/>
      <c r="L46" s="3"/>
      <c r="M46" s="3"/>
      <c r="N46" s="3"/>
      <c r="O46" s="3"/>
      <c r="Q46" s="3"/>
      <c r="R46" s="3"/>
      <c r="S46" s="3"/>
      <c r="T46" s="3"/>
      <c r="U46" s="3"/>
      <c r="V46" s="3"/>
    </row>
    <row r="47" spans="1:22" x14ac:dyDescent="0.35">
      <c r="A47" s="8" t="s">
        <v>23</v>
      </c>
      <c r="B47" s="88" t="s">
        <v>90</v>
      </c>
      <c r="C47" s="3"/>
      <c r="D47" s="3"/>
      <c r="E47" s="3"/>
      <c r="F47" s="3"/>
      <c r="G47" s="3"/>
      <c r="H47" s="3"/>
      <c r="I47" s="3"/>
      <c r="J47" s="57" t="s">
        <v>19</v>
      </c>
      <c r="K47" s="3"/>
      <c r="L47" s="3"/>
      <c r="M47" s="3"/>
      <c r="N47" s="3"/>
      <c r="O47" s="3"/>
      <c r="Q47" s="3"/>
      <c r="R47" s="3"/>
      <c r="S47" s="3"/>
      <c r="T47" s="3"/>
      <c r="U47" s="3"/>
      <c r="V47" s="3"/>
    </row>
    <row r="48" spans="1:22" x14ac:dyDescent="0.35">
      <c r="B48" s="4" t="s">
        <v>35</v>
      </c>
      <c r="C48" s="4"/>
      <c r="D48" s="3"/>
      <c r="E48" s="3"/>
      <c r="F48" s="3"/>
      <c r="G48" s="3"/>
      <c r="H48" s="3"/>
      <c r="I48" s="3"/>
      <c r="J48" s="57" t="s">
        <v>34</v>
      </c>
      <c r="K48" s="4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x14ac:dyDescent="0.35">
      <c r="A49" s="7" t="s">
        <v>62</v>
      </c>
      <c r="B49" s="46" t="s">
        <v>68</v>
      </c>
      <c r="C49" s="3"/>
      <c r="D49" s="3"/>
      <c r="E49" s="3"/>
      <c r="F49" s="3"/>
      <c r="G49" s="3"/>
      <c r="H49" s="3"/>
      <c r="I49" s="3"/>
      <c r="J49" s="32" t="s">
        <v>63</v>
      </c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x14ac:dyDescent="0.35">
      <c r="B50" s="47"/>
      <c r="C50" s="3"/>
      <c r="D50" s="3"/>
      <c r="E50" s="3"/>
      <c r="F50" s="3"/>
      <c r="G50" s="3"/>
      <c r="H50" s="3"/>
      <c r="I50" s="3"/>
      <c r="J50" s="33"/>
      <c r="K50" s="33"/>
      <c r="L50" s="33"/>
      <c r="M50" s="34"/>
      <c r="N50" s="34"/>
      <c r="O50" s="33"/>
      <c r="P50" s="33"/>
      <c r="Q50" s="33"/>
      <c r="R50" s="3"/>
      <c r="S50" s="3"/>
      <c r="T50" s="3"/>
      <c r="U50" s="3"/>
      <c r="V50" s="3"/>
    </row>
    <row r="51" spans="1:22" x14ac:dyDescent="0.35">
      <c r="B51" s="47"/>
      <c r="C51" s="3"/>
      <c r="D51" s="3"/>
      <c r="E51" s="3"/>
      <c r="F51" s="3"/>
      <c r="G51" s="3"/>
      <c r="H51" s="3"/>
      <c r="I51" s="3"/>
      <c r="J51" s="35"/>
      <c r="K51" s="35"/>
      <c r="L51" s="35"/>
      <c r="M51" s="95">
        <f>+M53-M52-K30</f>
        <v>-5712.3996941324422</v>
      </c>
      <c r="N51" s="95">
        <f>+N53-N52-L30</f>
        <v>-9282.6495029652251</v>
      </c>
      <c r="O51" s="96" t="s">
        <v>65</v>
      </c>
      <c r="P51" s="96" t="s">
        <v>65</v>
      </c>
      <c r="Q51" s="35"/>
      <c r="R51" s="35"/>
      <c r="S51" s="35"/>
      <c r="T51" s="35"/>
      <c r="U51" s="3"/>
      <c r="V51" s="3"/>
    </row>
    <row r="52" spans="1:22" x14ac:dyDescent="0.35">
      <c r="C52" s="3"/>
      <c r="D52" s="3"/>
      <c r="E52" s="3"/>
      <c r="F52" s="3"/>
      <c r="G52" s="3"/>
      <c r="H52" s="3"/>
      <c r="I52" s="3"/>
      <c r="J52" s="35" t="s">
        <v>33</v>
      </c>
      <c r="K52" s="36" t="s">
        <v>60</v>
      </c>
      <c r="L52" s="36" t="s">
        <v>61</v>
      </c>
      <c r="M52" s="35">
        <f>+M25</f>
        <v>73376</v>
      </c>
      <c r="N52" s="35">
        <f>+N25</f>
        <v>119236</v>
      </c>
      <c r="O52" s="97">
        <f>+M23</f>
        <v>32</v>
      </c>
      <c r="P52" s="98">
        <f>+N23</f>
        <v>52</v>
      </c>
      <c r="Q52" s="35"/>
      <c r="R52" s="35"/>
      <c r="S52" s="35"/>
      <c r="T52" s="35"/>
      <c r="U52" s="3"/>
      <c r="V52" s="3"/>
    </row>
    <row r="53" spans="1:22" x14ac:dyDescent="0.35">
      <c r="B53" s="8"/>
      <c r="C53" s="50"/>
      <c r="D53" s="50"/>
      <c r="E53" s="3"/>
      <c r="F53" s="3"/>
      <c r="G53" s="3"/>
      <c r="H53" s="3"/>
      <c r="I53" s="3"/>
      <c r="J53" s="35" t="s">
        <v>24</v>
      </c>
      <c r="K53" s="35">
        <f>+B11</f>
        <v>12935054</v>
      </c>
      <c r="L53" s="35">
        <f>-B12</f>
        <v>3199222</v>
      </c>
      <c r="M53" s="35">
        <f>+M52*0.85</f>
        <v>62369.599999999999</v>
      </c>
      <c r="N53" s="35">
        <f>+N52*0.85</f>
        <v>101350.59999999999</v>
      </c>
      <c r="O53" s="35">
        <f>+(K53-L53)/$B$5*$M$23+M53-M52</f>
        <v>-5712.399694132444</v>
      </c>
      <c r="P53" s="35">
        <f>+(K53-L53)/$B$5*$N$23+N53-N52</f>
        <v>-9282.6495029652287</v>
      </c>
      <c r="Q53" s="35"/>
      <c r="R53" s="35">
        <f>+K53-L53</f>
        <v>9735832</v>
      </c>
      <c r="S53" s="35">
        <f>+M52-M53</f>
        <v>11006.400000000001</v>
      </c>
      <c r="T53" s="35">
        <f>+R53-S53</f>
        <v>9724825.5999999996</v>
      </c>
      <c r="U53" s="3"/>
      <c r="V53" s="3"/>
    </row>
    <row r="54" spans="1:22" x14ac:dyDescent="0.35">
      <c r="B54" s="48"/>
      <c r="D54" s="3"/>
      <c r="E54" s="3"/>
      <c r="F54" s="3"/>
      <c r="G54" s="3"/>
      <c r="H54" s="3"/>
      <c r="I54" s="3"/>
      <c r="J54" s="35" t="s">
        <v>25</v>
      </c>
      <c r="K54" s="35">
        <v>11769840</v>
      </c>
      <c r="L54" s="35">
        <v>3136492</v>
      </c>
      <c r="M54" s="35">
        <f>+M53*0.85</f>
        <v>53014.159999999996</v>
      </c>
      <c r="N54" s="35">
        <f>+N53*0.85</f>
        <v>86148.01</v>
      </c>
      <c r="O54" s="35">
        <f t="shared" ref="O53:O60" si="12">+(K54-L54)/$B$5*$M$23+M54-M53</f>
        <v>-4660.9314102193748</v>
      </c>
      <c r="P54" s="35">
        <f>+(K54-L54)/$B$5*$N$23+N54-N53</f>
        <v>-7574.0135416064877</v>
      </c>
      <c r="Q54" s="35"/>
      <c r="R54" s="35">
        <f>+K54-L54</f>
        <v>8633348</v>
      </c>
      <c r="S54" s="35">
        <f>+M53-M54</f>
        <v>9355.4400000000023</v>
      </c>
      <c r="T54" s="35">
        <f>+R54-S54</f>
        <v>8623992.5600000005</v>
      </c>
      <c r="U54" s="3"/>
      <c r="V54" s="3"/>
    </row>
    <row r="55" spans="1:22" x14ac:dyDescent="0.35">
      <c r="B55" s="47"/>
      <c r="C55" s="3"/>
      <c r="D55" s="3"/>
      <c r="E55" s="3"/>
      <c r="F55" s="3"/>
      <c r="G55" s="3"/>
      <c r="H55" s="3"/>
      <c r="I55" s="3"/>
      <c r="J55" s="35" t="s">
        <v>26</v>
      </c>
      <c r="K55" s="35">
        <v>11769840</v>
      </c>
      <c r="L55" s="35">
        <v>3136492</v>
      </c>
      <c r="M55" s="35">
        <f>+M54*0.85</f>
        <v>45062.035999999993</v>
      </c>
      <c r="N55" s="35">
        <f t="shared" ref="N55:N60" si="13">+N54*0.85</f>
        <v>73225.808499999999</v>
      </c>
      <c r="O55" s="35">
        <f t="shared" si="12"/>
        <v>-3257.6154102193759</v>
      </c>
      <c r="P55" s="35">
        <f>+(K55-L55)/$B$5*$N$23+N55-N54</f>
        <v>-5293.6250416064868</v>
      </c>
      <c r="Q55" s="35"/>
      <c r="R55" s="35">
        <f>+K55-L55</f>
        <v>8633348</v>
      </c>
      <c r="S55" s="35">
        <f>+M54-M55</f>
        <v>7952.1240000000034</v>
      </c>
      <c r="T55" s="35">
        <f>+R55-S55</f>
        <v>8625395.8760000002</v>
      </c>
      <c r="U55" s="3"/>
      <c r="V55" s="3"/>
    </row>
    <row r="56" spans="1:22" x14ac:dyDescent="0.35">
      <c r="B56" s="47"/>
      <c r="C56" s="54"/>
      <c r="D56" s="3"/>
      <c r="E56" s="3"/>
      <c r="F56" s="3"/>
      <c r="G56" s="3"/>
      <c r="H56" s="3"/>
      <c r="I56" s="3"/>
      <c r="J56" s="35" t="s">
        <v>27</v>
      </c>
      <c r="K56" s="35">
        <v>11769840</v>
      </c>
      <c r="L56" s="35">
        <v>3136492</v>
      </c>
      <c r="M56" s="35">
        <f>+M55*0.85</f>
        <v>38302.730599999995</v>
      </c>
      <c r="N56" s="35">
        <f t="shared" si="13"/>
        <v>62241.937224999994</v>
      </c>
      <c r="O56" s="35">
        <f t="shared" si="12"/>
        <v>-2064.7968102193699</v>
      </c>
      <c r="P56" s="35">
        <f t="shared" ref="P56:P57" si="14">+(K56-L56)/$B$5*$N$23+N56-N55</f>
        <v>-3355.2948166064889</v>
      </c>
      <c r="Q56" s="35"/>
      <c r="R56" s="35">
        <f>+K56-L56</f>
        <v>8633348</v>
      </c>
      <c r="S56" s="35">
        <f>+M55-M56</f>
        <v>6759.3053999999975</v>
      </c>
      <c r="T56" s="35">
        <f>+R56-S56</f>
        <v>8626588.6945999991</v>
      </c>
      <c r="U56" s="3"/>
      <c r="V56" s="3"/>
    </row>
    <row r="57" spans="1:22" x14ac:dyDescent="0.35">
      <c r="B57" s="47"/>
      <c r="C57" s="52"/>
      <c r="D57" s="3"/>
      <c r="E57" s="3"/>
      <c r="F57" s="3"/>
      <c r="G57" s="3"/>
      <c r="H57" s="3"/>
      <c r="I57" s="3"/>
      <c r="J57" s="35" t="s">
        <v>28</v>
      </c>
      <c r="K57" s="35">
        <v>11769840</v>
      </c>
      <c r="L57" s="35">
        <v>3136492</v>
      </c>
      <c r="M57" s="35">
        <f>+M56*0.85</f>
        <v>32557.321009999996</v>
      </c>
      <c r="N57" s="35">
        <f t="shared" si="13"/>
        <v>52905.646641249994</v>
      </c>
      <c r="O57" s="35">
        <f t="shared" si="12"/>
        <v>-1050.9010002193754</v>
      </c>
      <c r="P57" s="35">
        <f t="shared" si="14"/>
        <v>-1707.7141253564841</v>
      </c>
      <c r="Q57" s="35"/>
      <c r="R57" s="35">
        <f>+K57-L57</f>
        <v>8633348</v>
      </c>
      <c r="S57" s="35">
        <f>+M56-M57</f>
        <v>5745.4095899999993</v>
      </c>
      <c r="T57" s="35">
        <f>+R57-S57</f>
        <v>8627602.5904099997</v>
      </c>
      <c r="U57" s="3"/>
      <c r="V57" s="3"/>
    </row>
    <row r="58" spans="1:22" x14ac:dyDescent="0.35">
      <c r="B58" s="47"/>
      <c r="C58" s="3"/>
      <c r="D58" s="3"/>
      <c r="E58" s="3"/>
      <c r="F58" s="3"/>
      <c r="G58" s="3"/>
      <c r="H58" s="3"/>
      <c r="I58" s="3"/>
      <c r="J58" s="35" t="s">
        <v>29</v>
      </c>
      <c r="K58" s="35">
        <v>11769840</v>
      </c>
      <c r="L58" s="35">
        <v>3136492</v>
      </c>
      <c r="M58" s="35">
        <f>+M57*0.85</f>
        <v>27673.722858499998</v>
      </c>
      <c r="N58" s="35">
        <f t="shared" si="13"/>
        <v>44969.799645062492</v>
      </c>
      <c r="O58" s="35">
        <f t="shared" si="12"/>
        <v>-189.08956171937461</v>
      </c>
      <c r="P58" s="35">
        <f>+(K58-L58)/$B$5*$N$23+N58-N57</f>
        <v>-307.27053779398557</v>
      </c>
      <c r="Q58" s="35"/>
      <c r="R58" s="35"/>
      <c r="S58" s="35"/>
      <c r="T58" s="35"/>
      <c r="U58" s="3"/>
      <c r="V58" s="3"/>
    </row>
    <row r="59" spans="1:22" x14ac:dyDescent="0.35">
      <c r="B59" s="47"/>
      <c r="C59" s="3"/>
      <c r="D59" s="3"/>
      <c r="E59" s="3"/>
      <c r="F59" s="3"/>
      <c r="G59" s="3"/>
      <c r="H59" s="3"/>
      <c r="I59" s="3"/>
      <c r="J59" s="35" t="s">
        <v>30</v>
      </c>
      <c r="K59" s="35">
        <v>11769840</v>
      </c>
      <c r="L59" s="35">
        <v>3136492</v>
      </c>
      <c r="M59" s="35">
        <f t="shared" ref="M55:M60" si="15">+M58*0.85</f>
        <v>23522.664429724999</v>
      </c>
      <c r="N59" s="35">
        <f t="shared" si="13"/>
        <v>38224.329698303118</v>
      </c>
      <c r="O59" s="35">
        <f t="shared" si="12"/>
        <v>543.45016100562498</v>
      </c>
      <c r="P59" s="35">
        <f>+(K59-L59)/$B$5*$N$23+N59-N58</f>
        <v>883.1065116341415</v>
      </c>
      <c r="Q59" s="35"/>
      <c r="R59" s="35"/>
      <c r="S59" s="35"/>
      <c r="T59" s="35"/>
      <c r="U59" s="3"/>
      <c r="V59" s="3"/>
    </row>
    <row r="60" spans="1:22" x14ac:dyDescent="0.35">
      <c r="B60" s="47"/>
      <c r="C60" s="3"/>
      <c r="D60" s="3"/>
      <c r="E60" s="3"/>
      <c r="F60" s="3"/>
      <c r="G60" s="3"/>
      <c r="H60" s="3"/>
      <c r="I60" s="3"/>
      <c r="J60" s="35" t="s">
        <v>31</v>
      </c>
      <c r="K60" s="35">
        <v>11769840</v>
      </c>
      <c r="L60" s="35">
        <v>3136492</v>
      </c>
      <c r="M60" s="35">
        <f>+M59*0.85</f>
        <v>19994.264765266249</v>
      </c>
      <c r="N60" s="35">
        <f t="shared" si="13"/>
        <v>32490.68024355765</v>
      </c>
      <c r="O60" s="35">
        <f t="shared" si="12"/>
        <v>1166.1089253218743</v>
      </c>
      <c r="P60" s="35">
        <f>+(K60-L60)/$B$5*$N$23+N60-N59</f>
        <v>1894.9270036480448</v>
      </c>
      <c r="Q60" s="35"/>
      <c r="R60" s="35"/>
      <c r="S60" s="35"/>
      <c r="T60" s="35"/>
      <c r="U60" s="3"/>
      <c r="V60" s="3"/>
    </row>
    <row r="61" spans="1:22" x14ac:dyDescent="0.35">
      <c r="B61" s="47"/>
      <c r="C61" s="49"/>
      <c r="D61" s="3"/>
      <c r="E61" s="3"/>
      <c r="F61" s="3"/>
      <c r="G61" s="3"/>
      <c r="H61" s="3"/>
      <c r="I61" s="3"/>
      <c r="J61" s="35" t="s">
        <v>32</v>
      </c>
      <c r="K61" s="35">
        <v>11769840</v>
      </c>
      <c r="L61" s="35">
        <v>3136492</v>
      </c>
      <c r="M61" s="35"/>
      <c r="N61" s="35"/>
      <c r="O61" s="35"/>
      <c r="P61" s="35"/>
      <c r="Q61" s="35"/>
      <c r="R61" s="35"/>
      <c r="S61" s="35"/>
      <c r="T61" s="35"/>
      <c r="U61" s="3"/>
      <c r="V61" s="3"/>
    </row>
    <row r="62" spans="1:22" x14ac:dyDescent="0.35">
      <c r="B62" s="47"/>
      <c r="C62" s="3"/>
      <c r="D62" s="3"/>
      <c r="E62" s="3"/>
      <c r="F62" s="3"/>
      <c r="G62" s="3"/>
      <c r="H62" s="3"/>
      <c r="I62" s="3"/>
      <c r="J62" s="35" t="s">
        <v>44</v>
      </c>
      <c r="K62" s="35">
        <v>11769840</v>
      </c>
      <c r="L62" s="35">
        <v>3136492</v>
      </c>
      <c r="M62" s="98">
        <f>+M60-M59</f>
        <v>-3528.3996644587496</v>
      </c>
      <c r="N62" s="98">
        <f>+N60-N59</f>
        <v>-5733.6494547454677</v>
      </c>
      <c r="O62" s="98">
        <f>SUM(O53:O61)</f>
        <v>-15226.174800401815</v>
      </c>
      <c r="P62" s="98">
        <f>SUM(P53:P61)</f>
        <v>-24742.534050652976</v>
      </c>
      <c r="Q62" s="35"/>
      <c r="R62" s="35"/>
      <c r="S62" s="35"/>
      <c r="T62" s="35"/>
      <c r="U62" s="3"/>
      <c r="V62" s="3"/>
    </row>
    <row r="63" spans="1:22" x14ac:dyDescent="0.35">
      <c r="B63" s="47"/>
      <c r="C63" s="3"/>
      <c r="D63" s="3"/>
      <c r="E63" s="3"/>
      <c r="F63" s="3"/>
      <c r="G63" s="3"/>
      <c r="H63" s="3"/>
      <c r="I63" s="3"/>
      <c r="J63" s="35" t="s">
        <v>45</v>
      </c>
      <c r="K63" s="35">
        <v>11769840</v>
      </c>
      <c r="L63" s="35">
        <v>3136492</v>
      </c>
      <c r="M63" s="35"/>
      <c r="N63" s="35"/>
      <c r="O63" s="35">
        <f>IF(O62&gt;0,M62,-M29)</f>
        <v>-5035.3434722765041</v>
      </c>
      <c r="P63" s="35">
        <f>IF(P62&gt;0,N62,-N29)</f>
        <v>-8182.4331424493212</v>
      </c>
      <c r="Q63" s="35"/>
      <c r="R63" s="35"/>
      <c r="S63" s="35"/>
      <c r="T63" s="35"/>
      <c r="U63" s="3"/>
      <c r="V63" s="3"/>
    </row>
    <row r="64" spans="1:22" x14ac:dyDescent="0.35">
      <c r="B64" s="47"/>
      <c r="C64" s="3"/>
      <c r="D64" s="3"/>
      <c r="E64" s="3"/>
      <c r="F64" s="3"/>
      <c r="G64" s="3"/>
      <c r="H64" s="3"/>
      <c r="I64" s="3"/>
      <c r="J64" s="35" t="s">
        <v>46</v>
      </c>
      <c r="K64" s="35">
        <v>11769840</v>
      </c>
      <c r="L64" s="35">
        <v>3136492</v>
      </c>
      <c r="M64" s="35"/>
      <c r="N64" s="35"/>
      <c r="O64" s="35"/>
      <c r="P64" s="35"/>
      <c r="Q64" s="35"/>
      <c r="R64" s="35"/>
      <c r="S64" s="35"/>
      <c r="T64" s="35"/>
      <c r="U64" s="3"/>
      <c r="V64" s="3"/>
    </row>
    <row r="65" spans="2:22" x14ac:dyDescent="0.35">
      <c r="B65" s="47"/>
      <c r="C65" s="49"/>
      <c r="D65" s="3"/>
      <c r="E65" s="3"/>
      <c r="F65" s="3"/>
      <c r="G65" s="3"/>
      <c r="H65" s="3"/>
      <c r="I65" s="3"/>
      <c r="J65" s="35" t="s">
        <v>47</v>
      </c>
      <c r="K65" s="35">
        <v>11769840</v>
      </c>
      <c r="L65" s="35">
        <v>3136492</v>
      </c>
      <c r="M65" s="35"/>
      <c r="N65" s="35"/>
      <c r="O65" s="35"/>
      <c r="P65" s="35"/>
      <c r="Q65" s="35"/>
      <c r="R65" s="35"/>
      <c r="S65" s="35"/>
      <c r="T65" s="35"/>
      <c r="U65" s="3"/>
      <c r="V65" s="3"/>
    </row>
    <row r="66" spans="2:22" x14ac:dyDescent="0.35">
      <c r="B66" s="47"/>
      <c r="C66" s="3"/>
      <c r="D66" s="3"/>
      <c r="E66" s="3"/>
      <c r="F66" s="3"/>
      <c r="G66" s="3"/>
      <c r="H66" s="3"/>
      <c r="I66" s="3"/>
      <c r="J66" s="35" t="s">
        <v>48</v>
      </c>
      <c r="K66" s="35">
        <v>11769840</v>
      </c>
      <c r="L66" s="35">
        <v>3136492</v>
      </c>
      <c r="M66" s="35"/>
      <c r="N66" s="35"/>
      <c r="O66" s="35"/>
      <c r="P66" s="35"/>
      <c r="Q66" s="35"/>
      <c r="R66" s="35"/>
      <c r="S66" s="35"/>
      <c r="T66" s="35"/>
      <c r="U66" s="3"/>
      <c r="V66" s="3"/>
    </row>
    <row r="67" spans="2:22" x14ac:dyDescent="0.35">
      <c r="B67" s="47"/>
      <c r="C67" s="3"/>
      <c r="D67" s="3"/>
      <c r="J67" s="35" t="s">
        <v>49</v>
      </c>
      <c r="K67" s="35">
        <v>11769840</v>
      </c>
      <c r="L67" s="35">
        <v>3136492</v>
      </c>
      <c r="M67" s="36"/>
      <c r="N67" s="36"/>
      <c r="O67" s="36"/>
      <c r="P67" s="36"/>
      <c r="Q67" s="36"/>
      <c r="R67" s="36"/>
      <c r="S67" s="36"/>
      <c r="T67" s="36"/>
    </row>
    <row r="68" spans="2:22" x14ac:dyDescent="0.35">
      <c r="B68" s="47"/>
      <c r="C68" s="3"/>
      <c r="D68" s="3"/>
      <c r="J68" s="35" t="s">
        <v>50</v>
      </c>
      <c r="K68" s="35">
        <v>11769840</v>
      </c>
      <c r="L68" s="35">
        <v>3136492</v>
      </c>
      <c r="M68" s="36"/>
      <c r="N68" s="36"/>
      <c r="O68" s="36"/>
      <c r="P68" s="36"/>
      <c r="Q68" s="36"/>
      <c r="R68" s="36"/>
      <c r="S68" s="36"/>
      <c r="T68" s="36"/>
    </row>
    <row r="69" spans="2:22" x14ac:dyDescent="0.35">
      <c r="B69" s="47"/>
      <c r="C69" s="49"/>
      <c r="D69" s="3"/>
      <c r="J69" s="35" t="s">
        <v>51</v>
      </c>
      <c r="K69" s="35">
        <v>11769840</v>
      </c>
      <c r="L69" s="35">
        <v>3136492</v>
      </c>
      <c r="M69" s="36"/>
      <c r="N69" s="36"/>
      <c r="O69" s="36"/>
      <c r="P69" s="36"/>
      <c r="Q69" s="36"/>
      <c r="R69" s="36"/>
      <c r="S69" s="36"/>
      <c r="T69" s="36"/>
    </row>
    <row r="70" spans="2:22" x14ac:dyDescent="0.35">
      <c r="B70" s="47"/>
      <c r="D70" s="3"/>
      <c r="J70" s="35" t="s">
        <v>52</v>
      </c>
      <c r="K70" s="35">
        <v>11769840</v>
      </c>
      <c r="L70" s="35">
        <v>3136492</v>
      </c>
      <c r="M70" s="36"/>
      <c r="N70" s="36"/>
      <c r="O70" s="36"/>
      <c r="P70" s="36"/>
      <c r="Q70" s="36"/>
      <c r="R70" s="36"/>
      <c r="S70" s="36"/>
      <c r="T70" s="36"/>
    </row>
    <row r="71" spans="2:22" x14ac:dyDescent="0.35">
      <c r="B71" s="47"/>
      <c r="D71" s="3"/>
      <c r="J71" s="35" t="s">
        <v>53</v>
      </c>
      <c r="K71" s="35">
        <v>11769840</v>
      </c>
      <c r="L71" s="35">
        <v>3136492</v>
      </c>
      <c r="M71" s="36"/>
      <c r="N71" s="36"/>
      <c r="O71" s="36"/>
      <c r="P71" s="36"/>
      <c r="Q71" s="36"/>
      <c r="R71" s="36"/>
      <c r="S71" s="36"/>
      <c r="T71" s="36"/>
    </row>
    <row r="72" spans="2:22" x14ac:dyDescent="0.35">
      <c r="B72" s="47"/>
      <c r="D72" s="3"/>
      <c r="J72" s="35" t="s">
        <v>54</v>
      </c>
      <c r="K72" s="35">
        <v>11769840</v>
      </c>
      <c r="L72" s="35">
        <v>3136492</v>
      </c>
      <c r="M72" s="36"/>
      <c r="N72" s="36"/>
      <c r="O72" s="36"/>
      <c r="P72" s="36"/>
      <c r="Q72" s="36"/>
      <c r="R72" s="36"/>
      <c r="S72" s="36"/>
      <c r="T72" s="36"/>
    </row>
    <row r="73" spans="2:22" x14ac:dyDescent="0.35">
      <c r="B73" s="47"/>
      <c r="D73" s="3"/>
      <c r="J73" s="35" t="s">
        <v>55</v>
      </c>
      <c r="K73" s="35">
        <v>11769840</v>
      </c>
      <c r="L73" s="35">
        <v>3136492</v>
      </c>
      <c r="M73" s="36"/>
      <c r="N73" s="36"/>
      <c r="O73" s="36"/>
      <c r="P73" s="36"/>
      <c r="Q73" s="36"/>
      <c r="R73" s="36"/>
      <c r="S73" s="36"/>
      <c r="T73" s="36"/>
    </row>
    <row r="74" spans="2:22" x14ac:dyDescent="0.35">
      <c r="B74" s="47"/>
      <c r="D74" s="3"/>
      <c r="J74" s="35" t="s">
        <v>56</v>
      </c>
      <c r="K74" s="35">
        <v>11769840</v>
      </c>
      <c r="L74" s="35">
        <v>3136492</v>
      </c>
      <c r="M74" s="36"/>
      <c r="N74" s="36"/>
      <c r="O74" s="36"/>
      <c r="P74" s="36"/>
      <c r="Q74" s="36"/>
      <c r="R74" s="36"/>
      <c r="S74" s="36"/>
      <c r="T74" s="36"/>
    </row>
    <row r="75" spans="2:22" x14ac:dyDescent="0.35">
      <c r="B75" s="47"/>
      <c r="D75" s="3"/>
      <c r="J75" s="35" t="s">
        <v>57</v>
      </c>
      <c r="K75" s="35">
        <v>11769840</v>
      </c>
      <c r="L75" s="35">
        <v>3136492</v>
      </c>
      <c r="M75" s="36"/>
      <c r="N75" s="36"/>
      <c r="O75" s="36"/>
      <c r="P75" s="36"/>
      <c r="Q75" s="36"/>
      <c r="R75" s="36"/>
      <c r="S75" s="36"/>
      <c r="T75" s="36"/>
    </row>
    <row r="76" spans="2:22" x14ac:dyDescent="0.35">
      <c r="B76" s="47"/>
      <c r="D76" s="3"/>
      <c r="J76" s="35" t="s">
        <v>58</v>
      </c>
      <c r="K76" s="35">
        <v>11769840</v>
      </c>
      <c r="L76" s="35">
        <v>3136492</v>
      </c>
      <c r="M76" s="36"/>
      <c r="N76" s="36"/>
      <c r="O76" s="36"/>
      <c r="P76" s="36"/>
      <c r="Q76" s="36"/>
      <c r="R76" s="36"/>
      <c r="S76" s="36"/>
      <c r="T76" s="36"/>
    </row>
    <row r="77" spans="2:22" x14ac:dyDescent="0.35">
      <c r="B77" s="47"/>
      <c r="J77" s="35" t="s">
        <v>59</v>
      </c>
      <c r="K77" s="35">
        <v>11769840</v>
      </c>
      <c r="L77" s="35">
        <v>3136492</v>
      </c>
      <c r="M77" s="36"/>
      <c r="N77" s="36"/>
      <c r="O77" s="36"/>
      <c r="P77" s="36"/>
      <c r="Q77" s="36"/>
      <c r="R77" s="36"/>
      <c r="S77" s="36"/>
      <c r="T77" s="36"/>
    </row>
    <row r="78" spans="2:22" x14ac:dyDescent="0.35">
      <c r="J78" s="35"/>
      <c r="K78" s="37">
        <f>SUM(K53:K77)</f>
        <v>295411214</v>
      </c>
      <c r="L78" s="37">
        <f>SUM(L53:L77)</f>
        <v>78475030</v>
      </c>
      <c r="M78" s="36"/>
      <c r="N78" s="36"/>
      <c r="O78" s="36"/>
      <c r="P78" s="36"/>
      <c r="Q78" s="36"/>
      <c r="R78" s="36"/>
      <c r="S78" s="36"/>
      <c r="T78" s="36"/>
    </row>
    <row r="79" spans="2:22" x14ac:dyDescent="0.35">
      <c r="J79" s="35"/>
      <c r="K79" s="35">
        <f>+K78-L78</f>
        <v>216936184</v>
      </c>
      <c r="L79" s="36"/>
      <c r="M79" s="36"/>
      <c r="N79" s="36"/>
      <c r="O79" s="36"/>
      <c r="P79" s="36"/>
      <c r="Q79" s="36"/>
      <c r="R79" s="36"/>
      <c r="S79" s="36"/>
      <c r="T79" s="36"/>
    </row>
    <row r="80" spans="2:22" x14ac:dyDescent="0.35">
      <c r="J80" s="35"/>
      <c r="K80" s="35"/>
      <c r="L80" s="36"/>
      <c r="M80" s="36"/>
      <c r="N80" s="36"/>
      <c r="O80" s="36"/>
      <c r="P80" s="36"/>
      <c r="Q80" s="36"/>
      <c r="R80" s="36"/>
      <c r="S80" s="36"/>
      <c r="T80" s="36"/>
    </row>
    <row r="81" spans="10:20" x14ac:dyDescent="0.35"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</row>
    <row r="82" spans="10:20" x14ac:dyDescent="0.35"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</row>
    <row r="83" spans="10:20" x14ac:dyDescent="0.35"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</row>
    <row r="84" spans="10:20" x14ac:dyDescent="0.35"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</row>
    <row r="85" spans="10:20" x14ac:dyDescent="0.35"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</row>
    <row r="86" spans="10:20" x14ac:dyDescent="0.35"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</row>
    <row r="87" spans="10:20" x14ac:dyDescent="0.35"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</row>
    <row r="88" spans="10:20" x14ac:dyDescent="0.35"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</row>
    <row r="89" spans="10:20" x14ac:dyDescent="0.35"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</row>
  </sheetData>
  <mergeCells count="8">
    <mergeCell ref="O22:P22"/>
    <mergeCell ref="K21:P21"/>
    <mergeCell ref="C22:D22"/>
    <mergeCell ref="E22:F22"/>
    <mergeCell ref="K22:L22"/>
    <mergeCell ref="M22:N22"/>
    <mergeCell ref="G22:H22"/>
    <mergeCell ref="C21:H21"/>
  </mergeCells>
  <pageMargins left="0.70866141732283472" right="0.70866141732283472" top="0.74803149606299213" bottom="0.74803149606299213" header="0.31496062992125984" footer="0.31496062992125984"/>
  <pageSetup paperSize="9" scale="3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" ma:contentTypeID="0x01010062D89BF639934700BDA9B10A7AD3B0F600167CCD80A8CDC147B1813CE19BDB0B87" ma:contentTypeVersion="9" ma:contentTypeDescription="Opret et nyt dokument." ma:contentTypeScope="" ma:versionID="1585a046aab9453ac0190a88bf71395f">
  <xsd:schema xmlns:xsd="http://www.w3.org/2001/XMLSchema" xmlns:xs="http://www.w3.org/2001/XMLSchema" xmlns:p="http://schemas.microsoft.com/office/2006/metadata/properties" xmlns:ns2="434f9bdf-250a-49fd-9211-5e5acf214d1b" targetNamespace="http://schemas.microsoft.com/office/2006/metadata/properties" ma:root="true" ma:fieldsID="9fa00d7ad77b5443453eee70de026acb" ns2:_="">
    <xsd:import namespace="434f9bdf-250a-49fd-9211-5e5acf214d1b"/>
    <xsd:element name="properties">
      <xsd:complexType>
        <xsd:sequence>
          <xsd:element name="documentManagement">
            <xsd:complexType>
              <xsd:all>
                <xsd:element ref="ns2:k7913c702e014fddaf1908da428f2c07" minOccurs="0"/>
                <xsd:element ref="ns2:TaxCatchAll" minOccurs="0"/>
                <xsd:element ref="ns2:TaxCatchAllLabel" minOccurs="0"/>
                <xsd:element ref="ns2:ice4b73aaa5c45b2a741539642cf40d2" minOccurs="0"/>
                <xsd:element ref="ns2:BDOP_IsMasterArchive" minOccurs="0"/>
                <xsd:element ref="ns2:BDOP_CustomerNumber"/>
                <xsd:element ref="ns2:BDOP_CustomerTitle" minOccurs="0"/>
                <xsd:element ref="ns2:BDOP_CustomerName" minOccurs="0"/>
                <xsd:element ref="ns2:BDOP_CaseId" minOccurs="0"/>
                <xsd:element ref="ns2:BDOP_CaseTitle" minOccurs="0"/>
                <xsd:element ref="ns2:BDOP_CaseFolderId" minOccurs="0"/>
                <xsd:element ref="ns2:BDOP_CaseFolder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4f9bdf-250a-49fd-9211-5e5acf214d1b" elementFormDefault="qualified">
    <xsd:import namespace="http://schemas.microsoft.com/office/2006/documentManagement/types"/>
    <xsd:import namespace="http://schemas.microsoft.com/office/infopath/2007/PartnerControls"/>
    <xsd:element name="k7913c702e014fddaf1908da428f2c07" ma:index="8" ma:taxonomy="true" ma:internalName="k7913c702e014fddaf1908da428f2c07" ma:taxonomyFieldName="BDOP_Year" ma:displayName="År" ma:default="1;#SKAL UDFYLDES|386c59a6-03a5-4758-9eb4-fb75797854ea" ma:fieldId="{47913c70-2e01-4fdd-af19-08da428f2c07}" ma:sspId="034ccd76-7b00-4ff7-a7f6-adac6874b78b" ma:termSetId="bd0fb4a5-4f07-4db6-8c57-3f5051bb0dd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e6b22eb4-4b91-4988-8681-d9e3f592ca2e}" ma:internalName="TaxCatchAll" ma:showField="CatchAllData" ma:web="c91b17b0-fbd9-4c21-99b6-ed31346c19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e6b22eb4-4b91-4988-8681-d9e3f592ca2e}" ma:internalName="TaxCatchAllLabel" ma:readOnly="true" ma:showField="CatchAllDataLabel" ma:web="c91b17b0-fbd9-4c21-99b6-ed31346c19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ce4b73aaa5c45b2a741539642cf40d2" ma:index="12" ma:taxonomy="true" ma:internalName="ice4b73aaa5c45b2a741539642cf40d2" ma:taxonomyFieldName="BDOP_Category" ma:displayName="Kategori" ma:default="2;#SKAL UDFYLDES|012e42ae-c6e5-4f97-8cb6-6e0139ab1d0b" ma:fieldId="{2ce4b73a-aa5c-45b2-a741-539642cf40d2}" ma:sspId="034ccd76-7b00-4ff7-a7f6-adac6874b78b" ma:termSetId="1c5d7eab-e4b9-45ef-8245-b9a98f1c51c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DOP_IsMasterArchive" ma:index="14" nillable="true" ma:displayName="Er stamarkiv" ma:internalName="BDOP_IsMasterArchive">
      <xsd:simpleType>
        <xsd:restriction base="dms:Boolean"/>
      </xsd:simpleType>
    </xsd:element>
    <xsd:element name="BDOP_CustomerNumber" ma:index="15" ma:displayName="KundeNummer" ma:default="722079" ma:internalName="BDOP_CustomerNumber">
      <xsd:simpleType>
        <xsd:restriction base="dms:Text"/>
      </xsd:simpleType>
    </xsd:element>
    <xsd:element name="BDOP_CustomerTitle" ma:index="16" nillable="true" ma:displayName="Kundetitel" ma:internalName="BDOP_CustomerTitle">
      <xsd:simpleType>
        <xsd:restriction base="dms:Text"/>
      </xsd:simpleType>
    </xsd:element>
    <xsd:element name="BDOP_CustomerName" ma:index="17" nillable="true" ma:displayName="Kundenavn" ma:default="Handest Vindmøllelaug K/S" ma:internalName="BDOP_CustomerName">
      <xsd:simpleType>
        <xsd:restriction base="dms:Text"/>
      </xsd:simpleType>
    </xsd:element>
    <xsd:element name="BDOP_CaseId" ma:index="18" nillable="true" ma:displayName="SagsId" ma:internalName="BDOP_CaseId">
      <xsd:simpleType>
        <xsd:restriction base="dms:Text"/>
      </xsd:simpleType>
    </xsd:element>
    <xsd:element name="BDOP_CaseTitle" ma:index="19" nillable="true" ma:displayName="Sagsnavn" ma:internalName="BDOP_CaseTitle">
      <xsd:simpleType>
        <xsd:restriction base="dms:Text"/>
      </xsd:simpleType>
    </xsd:element>
    <xsd:element name="BDOP_CaseFolderId" ma:index="20" nillable="true" ma:displayName="SagsmappeId" ma:internalName="BDOP_CaseFolderId">
      <xsd:simpleType>
        <xsd:restriction base="dms:Text"/>
      </xsd:simpleType>
    </xsd:element>
    <xsd:element name="BDOP_CaseFolderName" ma:index="21" nillable="true" ma:displayName="Sagsmappenavn" ma:internalName="BDOP_CaseFolderNam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34ccd76-7b00-4ff7-a7f6-adac6874b78b" ContentTypeId="0x01010062D89BF639934700BDA9B10A7AD3B0F6" PreviousValue="false"/>
</file>

<file path=customXml/item4.xml><?xml version="1.0" encoding="utf-8"?>
<p:properties xmlns:p="http://schemas.microsoft.com/office/2006/metadata/properties" xmlns:xsi="http://www.w3.org/2001/XMLSchema-instance">
  <documentManagement>
    <TaxCatchAll xmlns="434f9bdf-250a-49fd-9211-5e5acf214d1b">
      <Value>6</Value>
      <Value>3</Value>
    </TaxCatchAll>
    <BDOP_IsMasterArchive xmlns="434f9bdf-250a-49fd-9211-5e5acf214d1b">false</BDOP_IsMasterArchive>
    <BDOP_CaseFolderId xmlns="434f9bdf-250a-49fd-9211-5e5acf214d1b" xsi:nil="true"/>
    <BDOP_CustomerNumber xmlns="434f9bdf-250a-49fd-9211-5e5acf214d1b">722079</BDOP_CustomerNumber>
    <k7913c702e014fddaf1908da428f2c07 xmlns="434f9bdf-250a-49fd-9211-5e5acf214d1b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2017</TermName>
          <TermId xmlns="http://schemas.microsoft.com/office/infopath/2007/PartnerControls">58df131a-dad2-490b-934f-e94ced371662</TermId>
        </TermInfo>
      </Terms>
    </k7913c702e014fddaf1908da428f2c07>
    <ice4b73aaa5c45b2a741539642cf40d2 xmlns="434f9bdf-250a-49fd-9211-5e5acf214d1b">
      <Terms xmlns="http://schemas.microsoft.com/office/infopath/2007/PartnerControls">
        <TermInfo xmlns="http://schemas.microsoft.com/office/infopath/2007/PartnerControls">
          <TermName xmlns="http://schemas.microsoft.com/office/infopath/2007/PartnerControls">Økonomistyring</TermName>
          <TermId xmlns="http://schemas.microsoft.com/office/infopath/2007/PartnerControls">0bdd6322-5776-43b0-8ddf-25aebd153ad1</TermId>
        </TermInfo>
      </Terms>
    </ice4b73aaa5c45b2a741539642cf40d2>
    <BDOP_CustomerName xmlns="434f9bdf-250a-49fd-9211-5e5acf214d1b">Handest Vindmøllelaug K/S</BDOP_CustomerName>
    <BDOP_CaseTitle xmlns="434f9bdf-250a-49fd-9211-5e5acf214d1b" xsi:nil="true"/>
    <BDOP_CaseId xmlns="434f9bdf-250a-49fd-9211-5e5acf214d1b" xsi:nil="true"/>
    <BDOP_CustomerTitle xmlns="434f9bdf-250a-49fd-9211-5e5acf214d1b" xsi:nil="true"/>
    <BDOP_CaseFolderName xmlns="434f9bdf-250a-49fd-9211-5e5acf214d1b" xsi:nil="true"/>
  </documentManagement>
</p:properties>
</file>

<file path=customXml/itemProps1.xml><?xml version="1.0" encoding="utf-8"?>
<ds:datastoreItem xmlns:ds="http://schemas.openxmlformats.org/officeDocument/2006/customXml" ds:itemID="{F324EF62-F437-456A-8E14-21BFBB29ED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05EC41-55BB-4E1A-9AB6-AC3DD172EE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4f9bdf-250a-49fd-9211-5e5acf214d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012BA2-1C2D-47AD-8DC2-697B7357FFD2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D0436104-9658-4915-9DC9-846B08681327}">
  <ds:schemaRefs>
    <ds:schemaRef ds:uri="http://purl.org/dc/terms/"/>
    <ds:schemaRef ds:uri="http://schemas.openxmlformats.org/package/2006/metadata/core-properties"/>
    <ds:schemaRef ds:uri="434f9bdf-250a-49fd-9211-5e5acf214d1b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SKAT</vt:lpstr>
      <vt:lpstr>SKAT!Udskriftsområde</vt:lpstr>
    </vt:vector>
  </TitlesOfParts>
  <Company>BDO ScanRevision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regneeksempler Handest Laug.xlsx</dc:title>
  <dc:creator>Thomas Nielsen</dc:creator>
  <cp:lastModifiedBy>Thomas Nielsen</cp:lastModifiedBy>
  <cp:lastPrinted>2017-08-07T14:01:59Z</cp:lastPrinted>
  <dcterms:created xsi:type="dcterms:W3CDTF">2008-09-22T08:59:07Z</dcterms:created>
  <dcterms:modified xsi:type="dcterms:W3CDTF">2019-04-30T22:31:21Z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doCustomerID">
    <vt:lpwstr>721062</vt:lpwstr>
  </property>
  <property fmtid="{D5CDD505-2E9C-101B-9397-08002B2CF9AE}" pid="3" name="ContentTypeId">
    <vt:lpwstr>0x01010062D89BF639934700BDA9B10A7AD3B0F600167CCD80A8CDC147B1813CE19BDB0B87</vt:lpwstr>
  </property>
  <property fmtid="{D5CDD505-2E9C-101B-9397-08002B2CF9AE}" pid="4" name="BDOP_Category">
    <vt:lpwstr>6;#Økonomistyring|0bdd6322-5776-43b0-8ddf-25aebd153ad1</vt:lpwstr>
  </property>
  <property fmtid="{D5CDD505-2E9C-101B-9397-08002B2CF9AE}" pid="5" name="BDOP_Year">
    <vt:lpwstr>3;#2017|58df131a-dad2-490b-934f-e94ced371662</vt:lpwstr>
  </property>
</Properties>
</file>